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cuID"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426"/>
  <workbookPr codeName="ThisWorkbook"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15" yWindow="225" windowWidth="15375" windowHeight="7545" tabRatio="818"/>
  </bookViews>
  <sheets>
    <sheet name="Info" sheetId="5" r:id="rId1"/>
    <sheet name="Data Summary" sheetId="6" r:id="rId2"/>
    <sheet name="Reference Source Info" sheetId="8" r:id="rId3"/>
    <sheet name="PS" sheetId="21" r:id="rId4"/>
    <sheet name="DQI" sheetId="12" r:id="rId5"/>
    <sheet name="Strip Ratio" sheetId="23" r:id="rId6"/>
    <sheet name="Mine Production" sheetId="16" r:id="rId7"/>
    <sheet name="PM" sheetId="19" r:id="rId8"/>
    <sheet name="PM Split" sheetId="27" r:id="rId9"/>
    <sheet name="VOC" sheetId="14" r:id="rId10"/>
    <sheet name="Energy" sheetId="9" r:id="rId11"/>
    <sheet name="Energy Split" sheetId="26" r:id="rId12"/>
    <sheet name="Explosives" sheetId="13" r:id="rId13"/>
    <sheet name="NOx " sheetId="24" r:id="rId14"/>
    <sheet name="Conversions" sheetId="10" r:id="rId15"/>
    <sheet name="Assumptions" sheetId="11" r:id="rId16"/>
    <sheet name="Chart" sheetId="17" r:id="rId17"/>
    <sheet name="GaBi 5 Import" sheetId="18" r:id="rId18"/>
  </sheets>
  <externalReferences>
    <externalReference r:id="rId19"/>
  </externalReferences>
  <definedNames>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16</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lstCompleteness">'[1]Data Summary'!$E$250:$E$255</definedName>
    <definedName name="lstOrigin" localSheetId="7">'[1]Data Summary'!$H$250:$H$255</definedName>
    <definedName name="lstOrigin">'Data Summary'!$H$136:$H$141</definedName>
    <definedName name="lstProcessScope">'[1]Data Summary'!$D$250:$D$254</definedName>
    <definedName name="lstProcessType">'[1]Data Summary'!$C$250:$C$259</definedName>
    <definedName name="lstSourceType" localSheetId="7">'[1]Reference Source Info'!$B$52:$B$60</definedName>
    <definedName name="lstSourceType">'Reference Source Info'!$B$51:$B$59</definedName>
    <definedName name="lstTracked">'[1]Data Summary'!$J$250:$J$252</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71027" calcMode="manual"/>
</workbook>
</file>

<file path=xl/calcChain.xml><?xml version="1.0" encoding="utf-8"?>
<calcChain xmlns="http://schemas.openxmlformats.org/spreadsheetml/2006/main">
  <c r="M63" i="6" l="1"/>
  <c r="H63" i="6"/>
  <c r="B46" i="6"/>
  <c r="B33" i="6"/>
  <c r="G12" i="21" l="1"/>
  <c r="M62" i="6"/>
  <c r="H62" i="6"/>
  <c r="B45" i="6"/>
  <c r="C15" i="21"/>
  <c r="C16" i="21"/>
  <c r="C17" i="21"/>
  <c r="C14" i="21"/>
  <c r="C13" i="21"/>
  <c r="C9" i="21"/>
  <c r="B12" i="21"/>
  <c r="B32" i="6"/>
  <c r="B24" i="6" l="1"/>
  <c r="B101" i="19" l="1"/>
  <c r="G8" i="21" l="1"/>
  <c r="M75" i="6"/>
  <c r="M74" i="6"/>
  <c r="H75" i="6"/>
  <c r="B8" i="21"/>
  <c r="B27" i="6"/>
  <c r="B28" i="6"/>
  <c r="B26" i="6" l="1"/>
  <c r="I10" i="12" l="1"/>
  <c r="I11" i="12"/>
  <c r="D9" i="10" l="1"/>
  <c r="J8" i="12" l="1"/>
  <c r="K8" i="12"/>
  <c r="J9" i="12"/>
  <c r="K9" i="12"/>
  <c r="J10" i="12"/>
  <c r="K10" i="12"/>
  <c r="J11" i="12"/>
  <c r="K11" i="12"/>
  <c r="I9" i="12"/>
  <c r="I8" i="12"/>
  <c r="I12" i="12" l="1"/>
  <c r="B9" i="12"/>
  <c r="B10" i="12"/>
  <c r="B11" i="12"/>
  <c r="B8" i="12"/>
  <c r="B7" i="12"/>
  <c r="B6" i="12"/>
  <c r="B5" i="12"/>
  <c r="B4" i="12"/>
  <c r="M77" i="6"/>
  <c r="C11" i="12" s="1"/>
  <c r="M76" i="6"/>
  <c r="C10" i="12" s="1"/>
  <c r="C9" i="12"/>
  <c r="C8" i="12"/>
  <c r="M61" i="6"/>
  <c r="C7" i="12" s="1"/>
  <c r="M60" i="6"/>
  <c r="C6" i="12" s="1"/>
  <c r="M59" i="6"/>
  <c r="C5" i="12" s="1"/>
  <c r="M58" i="6"/>
  <c r="C4" i="12" s="1"/>
  <c r="B106" i="19" l="1"/>
  <c r="C47" i="19"/>
  <c r="C46" i="19"/>
  <c r="B111" i="19" l="1"/>
  <c r="B110" i="19"/>
  <c r="B108" i="19"/>
  <c r="B109" i="19"/>
  <c r="B113" i="19"/>
  <c r="E51" i="6"/>
  <c r="B52" i="6"/>
  <c r="B127" i="19" l="1"/>
  <c r="B119" i="19"/>
  <c r="B17" i="27" s="1"/>
  <c r="B116" i="19"/>
  <c r="B14" i="27" s="1"/>
  <c r="C14" i="27" s="1"/>
  <c r="F14" i="27" s="1"/>
  <c r="B121" i="19"/>
  <c r="B18" i="27" s="1"/>
  <c r="B117" i="19"/>
  <c r="B15" i="27" s="1"/>
  <c r="D15" i="27" s="1"/>
  <c r="F15" i="27" s="1"/>
  <c r="B125" i="19"/>
  <c r="B118" i="19"/>
  <c r="B16" i="27" s="1"/>
  <c r="B51" i="6"/>
  <c r="B129" i="19" l="1"/>
  <c r="B124" i="19"/>
  <c r="B31" i="27"/>
  <c r="D31" i="27"/>
  <c r="F31" i="27" s="1"/>
  <c r="B126" i="19"/>
  <c r="B33" i="27"/>
  <c r="G7" i="21"/>
  <c r="B7" i="21"/>
  <c r="G12" i="26"/>
  <c r="G13" i="26"/>
  <c r="G14" i="26"/>
  <c r="G15" i="26"/>
  <c r="G16" i="26"/>
  <c r="G17" i="26"/>
  <c r="G18" i="26"/>
  <c r="G19" i="26"/>
  <c r="G20" i="26"/>
  <c r="G11" i="26"/>
  <c r="G8" i="26"/>
  <c r="G9" i="26"/>
  <c r="G10" i="26"/>
  <c r="G7" i="26"/>
  <c r="B12" i="26"/>
  <c r="B13" i="26"/>
  <c r="B14" i="26"/>
  <c r="B15" i="26"/>
  <c r="B16" i="26"/>
  <c r="B17" i="26"/>
  <c r="B18" i="26"/>
  <c r="B11" i="26"/>
  <c r="B30" i="27" l="1"/>
  <c r="C30" i="27"/>
  <c r="F30" i="27" s="1"/>
  <c r="B34" i="27"/>
  <c r="B32" i="27"/>
  <c r="E52" i="6"/>
  <c r="G65" i="6" s="1"/>
  <c r="I65" i="6" s="1"/>
  <c r="B13" i="21" l="1"/>
  <c r="B10" i="23" l="1"/>
  <c r="B50" i="6" l="1"/>
  <c r="B49" i="6"/>
  <c r="B47" i="6"/>
  <c r="B48" i="6"/>
  <c r="B44" i="6"/>
  <c r="B43" i="6"/>
  <c r="B42" i="6"/>
  <c r="B41" i="6"/>
  <c r="B40" i="6"/>
  <c r="B39" i="6"/>
  <c r="H77" i="6" l="1"/>
  <c r="G15" i="21"/>
  <c r="B15" i="21"/>
  <c r="B38" i="6"/>
  <c r="B37" i="6"/>
  <c r="A11" i="24"/>
  <c r="A13" i="24" s="1"/>
  <c r="D15" i="21" s="1"/>
  <c r="A12" i="24" l="1"/>
  <c r="E15" i="21" s="1"/>
  <c r="B8" i="23"/>
  <c r="D16" i="27" l="1"/>
  <c r="C16" i="27" s="1"/>
  <c r="F16" i="27" s="1"/>
  <c r="D17" i="27"/>
  <c r="C17" i="27" s="1"/>
  <c r="E17" i="27" s="1"/>
  <c r="F17" i="27" s="1"/>
  <c r="E39" i="6"/>
  <c r="E41" i="6" s="1"/>
  <c r="D18" i="27"/>
  <c r="C18" i="27" s="1"/>
  <c r="E18" i="27" s="1"/>
  <c r="F18" i="27" s="1"/>
  <c r="D33" i="27"/>
  <c r="C33" i="27" s="1"/>
  <c r="D11" i="26"/>
  <c r="D13" i="26"/>
  <c r="C13" i="26" s="1"/>
  <c r="D17" i="26"/>
  <c r="C17" i="26" s="1"/>
  <c r="F17" i="26" s="1"/>
  <c r="D16" i="26"/>
  <c r="C16" i="26" s="1"/>
  <c r="E16" i="26" s="1"/>
  <c r="F16" i="26" s="1"/>
  <c r="D15" i="26"/>
  <c r="D18" i="26"/>
  <c r="C18" i="26" s="1"/>
  <c r="F18" i="26" s="1"/>
  <c r="D32" i="27"/>
  <c r="C32" i="27" s="1"/>
  <c r="F32" i="27" s="1"/>
  <c r="D34" i="27"/>
  <c r="C34" i="27" s="1"/>
  <c r="E34" i="27" s="1"/>
  <c r="F34" i="27" s="1"/>
  <c r="E12" i="26"/>
  <c r="C12" i="26" s="1"/>
  <c r="F12" i="26" s="1"/>
  <c r="D14" i="26"/>
  <c r="C14" i="26" s="1"/>
  <c r="F14" i="26" s="1"/>
  <c r="G10" i="21"/>
  <c r="G11" i="21"/>
  <c r="G13" i="21"/>
  <c r="G14" i="21"/>
  <c r="G9" i="21"/>
  <c r="B10" i="21"/>
  <c r="B11" i="21"/>
  <c r="B14" i="21"/>
  <c r="B9" i="21"/>
  <c r="C11" i="26" l="1"/>
  <c r="E33" i="27"/>
  <c r="F33" i="27" s="1"/>
  <c r="C15" i="26"/>
  <c r="E15" i="26" s="1"/>
  <c r="F15" i="26" s="1"/>
  <c r="H60" i="6"/>
  <c r="B34" i="6"/>
  <c r="B30" i="6"/>
  <c r="F11" i="26" l="1"/>
  <c r="B23" i="6"/>
  <c r="B25" i="6"/>
  <c r="D5" i="21"/>
  <c r="C5" i="21" s="1"/>
  <c r="C6" i="21"/>
  <c r="D8" i="9"/>
  <c r="B9" i="26" s="1"/>
  <c r="D7" i="9"/>
  <c r="D9" i="26" l="1"/>
  <c r="C9" i="26" s="1"/>
  <c r="F9" i="26" s="1"/>
  <c r="B8" i="26"/>
  <c r="B13" i="23"/>
  <c r="B14" i="23"/>
  <c r="B12" i="23"/>
  <c r="D8" i="26" l="1"/>
  <c r="B84" i="19"/>
  <c r="B80" i="19"/>
  <c r="B77" i="19"/>
  <c r="B73" i="19"/>
  <c r="B72" i="19"/>
  <c r="B70" i="19"/>
  <c r="B67" i="19"/>
  <c r="B68" i="19" s="1"/>
  <c r="B62" i="19"/>
  <c r="B58" i="19"/>
  <c r="B41" i="19"/>
  <c r="B37" i="19"/>
  <c r="B32" i="19"/>
  <c r="B28" i="19"/>
  <c r="B23" i="19"/>
  <c r="B19" i="19"/>
  <c r="B7" i="19"/>
  <c r="B8" i="19" s="1"/>
  <c r="B6" i="19"/>
  <c r="B9" i="19" l="1"/>
  <c r="C8" i="26"/>
  <c r="B69" i="19"/>
  <c r="B71" i="19" s="1"/>
  <c r="B85" i="19"/>
  <c r="F8" i="26" l="1"/>
  <c r="I6" i="12"/>
  <c r="G64" i="6" l="1"/>
  <c r="I64" i="6" s="1"/>
  <c r="G66" i="6"/>
  <c r="I66" i="6" s="1"/>
  <c r="G67" i="6"/>
  <c r="I67" i="6" s="1"/>
  <c r="H65" i="6" l="1"/>
  <c r="H64" i="6" l="1"/>
  <c r="B36" i="6" l="1"/>
  <c r="H61" i="6" l="1"/>
  <c r="H74" i="6"/>
  <c r="H76" i="6"/>
  <c r="B29" i="6"/>
  <c r="B31" i="6"/>
  <c r="B35" i="6"/>
  <c r="H58" i="6" l="1"/>
  <c r="H59" i="6"/>
  <c r="D3" i="5" l="1"/>
  <c r="C33" i="5" s="1"/>
  <c r="I7" i="12" l="1"/>
  <c r="J7" i="12"/>
  <c r="K7" i="12"/>
  <c r="D19" i="10" l="1"/>
  <c r="B74" i="19" s="1"/>
  <c r="B75" i="19" s="1"/>
  <c r="D18" i="10"/>
  <c r="B10" i="16" l="1"/>
  <c r="D6" i="10" l="1"/>
  <c r="D5" i="10"/>
  <c r="B38" i="19" l="1"/>
  <c r="B33" i="19"/>
  <c r="B29" i="19"/>
  <c r="B42" i="19"/>
  <c r="B10" i="19"/>
  <c r="B59" i="19"/>
  <c r="B63" i="19"/>
  <c r="B24" i="19"/>
  <c r="B20" i="19"/>
  <c r="B53" i="19"/>
  <c r="D15" i="10"/>
  <c r="F11" i="10"/>
  <c r="I5" i="12"/>
  <c r="J5" i="12"/>
  <c r="K5" i="12"/>
  <c r="J6" i="12"/>
  <c r="K6" i="12"/>
  <c r="B39" i="19" l="1"/>
  <c r="B43" i="19"/>
  <c r="B50" i="19"/>
  <c r="B64" i="19"/>
  <c r="B34" i="19"/>
  <c r="B30" i="19"/>
  <c r="B60" i="19"/>
  <c r="D10" i="10"/>
  <c r="B61" i="19" l="1"/>
  <c r="B65" i="19"/>
  <c r="A15" i="13"/>
  <c r="A14" i="13"/>
  <c r="A8" i="13"/>
  <c r="C27" i="27" l="1"/>
  <c r="F27" i="27" s="1"/>
  <c r="B11" i="27"/>
  <c r="B27" i="27" s="1"/>
  <c r="C11" i="27"/>
  <c r="F11" i="27" s="1"/>
  <c r="D4" i="10"/>
  <c r="C22" i="26" l="1"/>
  <c r="D12" i="21" s="1"/>
  <c r="D22" i="26"/>
  <c r="E12" i="21" s="1"/>
  <c r="E21" i="26"/>
  <c r="F11" i="21" s="1"/>
  <c r="B18" i="9"/>
  <c r="B19" i="9" s="1"/>
  <c r="D21" i="26"/>
  <c r="E11" i="21" s="1"/>
  <c r="C21" i="26"/>
  <c r="D11" i="21" s="1"/>
  <c r="C11" i="21" s="1"/>
  <c r="D6" i="9"/>
  <c r="B7" i="26" s="1"/>
  <c r="C7" i="26" s="1"/>
  <c r="F7" i="26" s="1"/>
  <c r="D10" i="26"/>
  <c r="E10" i="21" s="1"/>
  <c r="E10" i="26"/>
  <c r="F10" i="21" s="1"/>
  <c r="C10" i="21" s="1"/>
  <c r="D19" i="26"/>
  <c r="D20" i="26" s="1"/>
  <c r="C19" i="26"/>
  <c r="C20" i="26" s="1"/>
  <c r="B19" i="26"/>
  <c r="B25" i="19"/>
  <c r="B21" i="19"/>
  <c r="B8" i="14"/>
  <c r="B9" i="14" s="1"/>
  <c r="A9" i="13"/>
  <c r="A10" i="13" s="1"/>
  <c r="A12" i="13"/>
  <c r="B12" i="16"/>
  <c r="H73" i="6"/>
  <c r="K4" i="12"/>
  <c r="J4" i="12"/>
  <c r="G73" i="6"/>
  <c r="C10" i="26" l="1"/>
  <c r="F10" i="26" s="1"/>
  <c r="D9" i="9"/>
  <c r="B10" i="26" s="1"/>
  <c r="B10" i="14"/>
  <c r="E9" i="21" s="1"/>
  <c r="B86" i="19"/>
  <c r="B87" i="19" s="1"/>
  <c r="B76" i="19"/>
  <c r="B54" i="19"/>
  <c r="B11" i="19"/>
  <c r="B35" i="19"/>
  <c r="B51" i="19"/>
  <c r="B40" i="19"/>
  <c r="B44" i="19"/>
  <c r="C10" i="27" s="1"/>
  <c r="B31" i="19"/>
  <c r="B26" i="19"/>
  <c r="B22" i="19"/>
  <c r="D25" i="27" s="1"/>
  <c r="F25" i="27" s="1"/>
  <c r="A13" i="13"/>
  <c r="A16" i="13" s="1"/>
  <c r="I4" i="12"/>
  <c r="N5" i="6"/>
  <c r="B55" i="19" l="1"/>
  <c r="B10" i="27" s="1"/>
  <c r="D26" i="27"/>
  <c r="C26" i="27"/>
  <c r="F26" i="27" s="1"/>
  <c r="D10" i="21"/>
  <c r="D10" i="27"/>
  <c r="B47" i="19"/>
  <c r="E10" i="27" s="1"/>
  <c r="E19" i="27" s="1"/>
  <c r="F7" i="21" s="1"/>
  <c r="C7" i="21" s="1"/>
  <c r="A19" i="13"/>
  <c r="E13" i="21" s="1"/>
  <c r="B11" i="14"/>
  <c r="D9" i="21" s="1"/>
  <c r="E29" i="6" s="1"/>
  <c r="E42" i="6" s="1"/>
  <c r="G76" i="6" s="1"/>
  <c r="I76" i="6" s="1"/>
  <c r="B46" i="19"/>
  <c r="E26" i="27" s="1"/>
  <c r="E35" i="27" s="1"/>
  <c r="F8" i="21" s="1"/>
  <c r="C8" i="21" s="1"/>
  <c r="D9" i="27"/>
  <c r="F9" i="27" s="1"/>
  <c r="B9" i="27"/>
  <c r="B25" i="27" s="1"/>
  <c r="B20" i="26"/>
  <c r="B12" i="19"/>
  <c r="B13" i="19"/>
  <c r="B8" i="27" s="1"/>
  <c r="B24" i="27" s="1"/>
  <c r="B81" i="19"/>
  <c r="B82" i="19" s="1"/>
  <c r="B78" i="19"/>
  <c r="B79" i="19" s="1"/>
  <c r="B88" i="19"/>
  <c r="B89" i="19"/>
  <c r="A17" i="13"/>
  <c r="A22" i="13" s="1"/>
  <c r="II2" i="8"/>
  <c r="IH2" i="8"/>
  <c r="IG2" i="8"/>
  <c r="IF2" i="8"/>
  <c r="IE2" i="8"/>
  <c r="ID2" i="8"/>
  <c r="IC2" i="8"/>
  <c r="IB2" i="8"/>
  <c r="IA2" i="8"/>
  <c r="HZ2" i="8"/>
  <c r="HY2" i="8"/>
  <c r="HX2" i="8"/>
  <c r="HW2" i="8"/>
  <c r="HV2" i="8"/>
  <c r="HU2" i="8"/>
  <c r="HT2" i="8"/>
  <c r="HS2" i="8"/>
  <c r="HR2" i="8"/>
  <c r="HQ2" i="8"/>
  <c r="HP2" i="8"/>
  <c r="HO2" i="8"/>
  <c r="HN2" i="8"/>
  <c r="HM2" i="8"/>
  <c r="HL2" i="8"/>
  <c r="HK2" i="8"/>
  <c r="HJ2" i="8"/>
  <c r="HI2" i="8"/>
  <c r="HH2" i="8"/>
  <c r="HG2" i="8"/>
  <c r="HF2" i="8"/>
  <c r="HE2" i="8"/>
  <c r="HD2" i="8"/>
  <c r="HC2" i="8"/>
  <c r="HB2" i="8"/>
  <c r="HA2" i="8"/>
  <c r="GZ2" i="8"/>
  <c r="GY2" i="8"/>
  <c r="GX2" i="8"/>
  <c r="GW2" i="8"/>
  <c r="GV2" i="8"/>
  <c r="GU2" i="8"/>
  <c r="GT2" i="8"/>
  <c r="GS2" i="8"/>
  <c r="GR2" i="8"/>
  <c r="GQ2" i="8"/>
  <c r="GP2" i="8"/>
  <c r="GO2" i="8"/>
  <c r="GN2" i="8"/>
  <c r="GM2" i="8"/>
  <c r="GL2" i="8"/>
  <c r="GK2" i="8"/>
  <c r="GJ2" i="8"/>
  <c r="GI2" i="8"/>
  <c r="GH2" i="8"/>
  <c r="GG2" i="8"/>
  <c r="GF2" i="8"/>
  <c r="GE2" i="8"/>
  <c r="GD2" i="8"/>
  <c r="GC2" i="8"/>
  <c r="GB2" i="8"/>
  <c r="GA2" i="8"/>
  <c r="FZ2" i="8"/>
  <c r="FY2" i="8"/>
  <c r="FX2" i="8"/>
  <c r="FW2" i="8"/>
  <c r="FV2" i="8"/>
  <c r="FU2" i="8"/>
  <c r="FT2" i="8"/>
  <c r="FS2" i="8"/>
  <c r="FR2" i="8"/>
  <c r="FQ2" i="8"/>
  <c r="FP2" i="8"/>
  <c r="FO2" i="8"/>
  <c r="FN2" i="8"/>
  <c r="FM2" i="8"/>
  <c r="FL2" i="8"/>
  <c r="FK2" i="8"/>
  <c r="FJ2" i="8"/>
  <c r="FI2" i="8"/>
  <c r="FH2" i="8"/>
  <c r="FG2" i="8"/>
  <c r="FF2" i="8"/>
  <c r="FE2" i="8"/>
  <c r="FD2" i="8"/>
  <c r="FC2" i="8"/>
  <c r="FB2" i="8"/>
  <c r="FA2" i="8"/>
  <c r="EZ2" i="8"/>
  <c r="EY2" i="8"/>
  <c r="EX2" i="8"/>
  <c r="EW2" i="8"/>
  <c r="EV2" i="8"/>
  <c r="EU2" i="8"/>
  <c r="ET2" i="8"/>
  <c r="ES2" i="8"/>
  <c r="ER2" i="8"/>
  <c r="EQ2" i="8"/>
  <c r="EP2" i="8"/>
  <c r="EO2" i="8"/>
  <c r="EN2" i="8"/>
  <c r="EM2" i="8"/>
  <c r="EL2" i="8"/>
  <c r="EK2" i="8"/>
  <c r="EJ2" i="8"/>
  <c r="EI2" i="8"/>
  <c r="EH2" i="8"/>
  <c r="EG2" i="8"/>
  <c r="EF2" i="8"/>
  <c r="EE2" i="8"/>
  <c r="ED2" i="8"/>
  <c r="EC2" i="8"/>
  <c r="EB2" i="8"/>
  <c r="EA2" i="8"/>
  <c r="DZ2" i="8"/>
  <c r="DY2" i="8"/>
  <c r="DX2" i="8"/>
  <c r="DW2" i="8"/>
  <c r="DV2" i="8"/>
  <c r="DU2" i="8"/>
  <c r="DT2" i="8"/>
  <c r="DS2" i="8"/>
  <c r="DR2" i="8"/>
  <c r="DQ2" i="8"/>
  <c r="DP2" i="8"/>
  <c r="DO2" i="8"/>
  <c r="DN2" i="8"/>
  <c r="DM2" i="8"/>
  <c r="DL2" i="8"/>
  <c r="DK2" i="8"/>
  <c r="DJ2" i="8"/>
  <c r="DI2" i="8"/>
  <c r="DH2" i="8"/>
  <c r="DG2" i="8"/>
  <c r="DF2" i="8"/>
  <c r="DE2" i="8"/>
  <c r="DD2" i="8"/>
  <c r="DC2" i="8"/>
  <c r="DB2" i="8"/>
  <c r="DA2" i="8"/>
  <c r="CZ2" i="8"/>
  <c r="CY2" i="8"/>
  <c r="CX2" i="8"/>
  <c r="CW2" i="8"/>
  <c r="CV2" i="8"/>
  <c r="CU2" i="8"/>
  <c r="CT2" i="8"/>
  <c r="CS2" i="8"/>
  <c r="CR2" i="8"/>
  <c r="CQ2" i="8"/>
  <c r="CP2" i="8"/>
  <c r="CO2" i="8"/>
  <c r="CN2" i="8"/>
  <c r="CM2" i="8"/>
  <c r="CL2" i="8"/>
  <c r="CK2" i="8"/>
  <c r="CJ2" i="8"/>
  <c r="CI2" i="8"/>
  <c r="CH2" i="8"/>
  <c r="CG2" i="8"/>
  <c r="CF2" i="8"/>
  <c r="CE2" i="8"/>
  <c r="CD2" i="8"/>
  <c r="CC2" i="8"/>
  <c r="CB2" i="8"/>
  <c r="CA2" i="8"/>
  <c r="BZ2" i="8"/>
  <c r="BY2" i="8"/>
  <c r="BX2" i="8"/>
  <c r="BW2" i="8"/>
  <c r="BV2" i="8"/>
  <c r="BU2" i="8"/>
  <c r="BT2" i="8"/>
  <c r="BS2" i="8"/>
  <c r="BR2" i="8"/>
  <c r="BQ2" i="8"/>
  <c r="BP2" i="8"/>
  <c r="BO2" i="8"/>
  <c r="BN2" i="8"/>
  <c r="BM2" i="8"/>
  <c r="BL2" i="8"/>
  <c r="BK2" i="8"/>
  <c r="BJ2" i="8"/>
  <c r="BI2" i="8"/>
  <c r="BH2" i="8"/>
  <c r="BG2" i="8"/>
  <c r="BF2" i="8"/>
  <c r="BE2" i="8"/>
  <c r="BD2" i="8"/>
  <c r="BC2" i="8"/>
  <c r="BB2" i="8"/>
  <c r="BA2" i="8"/>
  <c r="AZ2" i="8"/>
  <c r="AY2" i="8"/>
  <c r="AX2" i="8"/>
  <c r="AW2" i="8"/>
  <c r="AV2" i="8"/>
  <c r="AU2" i="8"/>
  <c r="AT2" i="8"/>
  <c r="AS2" i="8"/>
  <c r="AR2" i="8"/>
  <c r="AQ2" i="8"/>
  <c r="AP2" i="8"/>
  <c r="AO2" i="8"/>
  <c r="AN2" i="8"/>
  <c r="AM2" i="8"/>
  <c r="AL2" i="8"/>
  <c r="AK2" i="8"/>
  <c r="AJ2" i="8"/>
  <c r="AI2" i="8"/>
  <c r="I73" i="6"/>
  <c r="G11" i="6"/>
  <c r="D4" i="5"/>
  <c r="D29" i="27" l="1"/>
  <c r="F29" i="27" s="1"/>
  <c r="C28" i="27"/>
  <c r="F28" i="27" s="1"/>
  <c r="B52" i="19"/>
  <c r="B26" i="27" s="1"/>
  <c r="B91" i="19"/>
  <c r="E26" i="6"/>
  <c r="E27" i="6" s="1"/>
  <c r="E28" i="6" s="1"/>
  <c r="G75" i="6" s="1"/>
  <c r="I75" i="6" s="1"/>
  <c r="F10" i="27"/>
  <c r="A20" i="13"/>
  <c r="D13" i="21" s="1"/>
  <c r="E34" i="6" s="1"/>
  <c r="E47" i="6" s="1"/>
  <c r="G59" i="6" s="1"/>
  <c r="I59" i="6" s="1"/>
  <c r="A23" i="13"/>
  <c r="D14" i="21" s="1"/>
  <c r="E14" i="21"/>
  <c r="B13" i="27"/>
  <c r="B29" i="27" s="1"/>
  <c r="D13" i="27"/>
  <c r="F13" i="27" s="1"/>
  <c r="C12" i="27"/>
  <c r="F12" i="27" s="1"/>
  <c r="B12" i="27"/>
  <c r="B28" i="27" s="1"/>
  <c r="B93" i="19"/>
  <c r="B14" i="19"/>
  <c r="D24" i="27" s="1"/>
  <c r="B94" i="19"/>
  <c r="B96" i="19" s="1"/>
  <c r="B92" i="19"/>
  <c r="B95" i="19" s="1"/>
  <c r="B15" i="19"/>
  <c r="D8" i="27" s="1"/>
  <c r="D35" i="27" l="1"/>
  <c r="E8" i="21" s="1"/>
  <c r="B35" i="27"/>
  <c r="D19" i="27"/>
  <c r="E7" i="21" s="1"/>
  <c r="B19" i="27"/>
  <c r="E35" i="6"/>
  <c r="E48" i="6" s="1"/>
  <c r="G58" i="6" s="1"/>
  <c r="I58" i="6" s="1"/>
  <c r="E37" i="6"/>
  <c r="E38" i="6" s="1"/>
  <c r="G77" i="6" s="1"/>
  <c r="I77" i="6" s="1"/>
  <c r="B16" i="19"/>
  <c r="C24" i="27" s="1"/>
  <c r="C35" i="27" s="1"/>
  <c r="D8" i="21" s="1"/>
  <c r="B17" i="19"/>
  <c r="C8" i="27" s="1"/>
  <c r="C19" i="27" s="1"/>
  <c r="D7" i="21" s="1"/>
  <c r="F24" i="27" l="1"/>
  <c r="F35" i="27" s="1"/>
  <c r="F8" i="27"/>
  <c r="F19" i="27" s="1"/>
  <c r="E23" i="6" l="1"/>
  <c r="E24" i="6" l="1"/>
  <c r="E25" i="6" s="1"/>
  <c r="G74" i="6" s="1"/>
  <c r="I74" i="6" s="1"/>
  <c r="E13" i="26"/>
  <c r="E22" i="26" s="1"/>
  <c r="F12" i="21" s="1"/>
  <c r="C12" i="21" s="1"/>
  <c r="E32" i="6" s="1"/>
  <c r="E45" i="6" s="1"/>
  <c r="G62" i="6" s="1"/>
  <c r="I62" i="6" s="1"/>
  <c r="F13" i="26" l="1"/>
  <c r="E19" i="26"/>
  <c r="E20" i="26" l="1"/>
  <c r="F19" i="26"/>
  <c r="F20" i="26" l="1"/>
  <c r="E30" i="6" l="1"/>
  <c r="E43" i="6" s="1"/>
  <c r="G60" i="6" s="1"/>
  <c r="I60" i="6" s="1"/>
  <c r="E31" i="6"/>
  <c r="E46" i="6" s="1"/>
  <c r="E44" i="6" l="1"/>
  <c r="G63" i="6"/>
  <c r="I63" i="6" s="1"/>
  <c r="G61" i="6"/>
  <c r="I61" i="6" s="1"/>
</calcChain>
</file>

<file path=xl/sharedStrings.xml><?xml version="1.0" encoding="utf-8"?>
<sst xmlns="http://schemas.openxmlformats.org/spreadsheetml/2006/main" count="1929" uniqueCount="982">
  <si>
    <t>Value</t>
  </si>
  <si>
    <t>Extraction Process (EP)</t>
  </si>
  <si>
    <t>Manufacturing Process (MP)</t>
  </si>
  <si>
    <t>Installation Process (IP)</t>
  </si>
  <si>
    <t>Basic Process (BP)</t>
  </si>
  <si>
    <t>Energy Conversion (EC)</t>
  </si>
  <si>
    <t>Recovery Process (RP)</t>
  </si>
  <si>
    <t>Cradle-to-Grave (End-of-Life) Process (CE)</t>
  </si>
  <si>
    <t>Cradle-to-Gate Process (CG)</t>
  </si>
  <si>
    <t>Gate-to-Gate Process (GG)</t>
  </si>
  <si>
    <t>Gate-to-Grave (End-of-Life) Process (GE)</t>
  </si>
  <si>
    <t>All Flows Captured</t>
  </si>
  <si>
    <t>Some Relevant Flows Not Captured</t>
  </si>
  <si>
    <t>No Statement</t>
  </si>
  <si>
    <t>Description</t>
  </si>
  <si>
    <t>US</t>
  </si>
  <si>
    <t>Completeness</t>
  </si>
  <si>
    <t>Copyright</t>
  </si>
  <si>
    <t>No</t>
  </si>
  <si>
    <t>Parameter</t>
  </si>
  <si>
    <t>Formula</t>
  </si>
  <si>
    <t>Flow</t>
  </si>
  <si>
    <t>Amount</t>
  </si>
  <si>
    <t>Factor</t>
  </si>
  <si>
    <t>Unit</t>
  </si>
  <si>
    <t>Origin</t>
  </si>
  <si>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</si>
  <si>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</si>
  <si>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</si>
  <si>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</si>
  <si>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</si>
  <si>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</si>
  <si>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</si>
  <si>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</si>
  <si>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</si>
  <si>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Summary</t>
  </si>
  <si>
    <t>Data Summary</t>
  </si>
  <si>
    <t>Summary of Calculations, Input and Output Flows, Reference Flow, and other information</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</si>
  <si>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</si>
  <si>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</si>
  <si>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</si>
  <si>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</si>
  <si>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</si>
  <si>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</si>
  <si>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</si>
  <si>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</si>
  <si>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</si>
  <si>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</si>
  <si>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</si>
  <si>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</si>
  <si>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</si>
  <si>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</si>
  <si>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</si>
  <si>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</si>
  <si>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</si>
  <si>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</si>
  <si>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</si>
  <si>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</si>
  <si>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</si>
  <si>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</si>
  <si>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</si>
  <si>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</si>
  <si>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</si>
  <si>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</si>
  <si>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</si>
  <si>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</si>
  <si>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</si>
  <si>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</si>
  <si>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</si>
  <si>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</si>
  <si>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</si>
  <si>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</si>
  <si>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</si>
  <si>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</si>
  <si>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Min. Value</t>
  </si>
  <si>
    <t>Max. Value</t>
  </si>
  <si>
    <t>References</t>
  </si>
  <si>
    <t>Comments</t>
  </si>
  <si>
    <t>End of List</t>
  </si>
  <si>
    <t xml:space="preserve">&lt;select this entire row, then insert new row&gt; </t>
  </si>
  <si>
    <t>SECTION III: INPUT FLOWS</t>
  </si>
  <si>
    <t>This section includes all input flows considered for this unit process</t>
  </si>
  <si>
    <t>Flow Name</t>
  </si>
  <si>
    <t>Units</t>
  </si>
  <si>
    <t>Total</t>
  </si>
  <si>
    <t>Units per RF</t>
  </si>
  <si>
    <t>Tracked</t>
  </si>
  <si>
    <t>&lt;select from list&gt;</t>
  </si>
  <si>
    <t>SECTION IV: OUTPUT FLOWS</t>
  </si>
  <si>
    <t>This section includes all output flows considered for this unit process</t>
  </si>
  <si>
    <t>Reference flow</t>
  </si>
  <si>
    <t>Detailed Spreadsheet Lists</t>
  </si>
  <si>
    <t>Process Type</t>
  </si>
  <si>
    <t>Process Scope</t>
  </si>
  <si>
    <t>Measured</t>
  </si>
  <si>
    <t>X</t>
  </si>
  <si>
    <t>All Relevant Flows Captured</t>
  </si>
  <si>
    <t>Calculated</t>
  </si>
  <si>
    <t>*</t>
  </si>
  <si>
    <t>Individual Relevant Flows Captured</t>
  </si>
  <si>
    <t>Literature</t>
  </si>
  <si>
    <t>Estimated</t>
  </si>
  <si>
    <t>Transport Process (TP)</t>
  </si>
  <si>
    <t>Waste Treatment Process (WT)</t>
  </si>
  <si>
    <t>Auxiliary Process (AP)</t>
  </si>
  <si>
    <t>Field Name</t>
  </si>
  <si>
    <t>Number</t>
  </si>
  <si>
    <t>SourceType</t>
  </si>
  <si>
    <t>Separate Publication</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</si>
  <si>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</si>
  <si>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</si>
  <si>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</si>
  <si>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</si>
  <si>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</si>
  <si>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</si>
  <si>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</si>
  <si>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</si>
  <si>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</si>
  <si>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</si>
  <si>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</si>
  <si>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</si>
  <si>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</si>
  <si>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</si>
  <si>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</si>
  <si>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Internet Address</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</si>
  <si>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</si>
  <si>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</si>
  <si>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</si>
  <si>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</si>
  <si>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</si>
  <si>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</si>
  <si>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</si>
  <si>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</si>
  <si>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</si>
  <si>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</si>
  <si>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</si>
  <si>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Measurement on Site</t>
  </si>
  <si>
    <t>Oral Communication</t>
  </si>
  <si>
    <t>Personal Written Communication</t>
  </si>
  <si>
    <t>Questionnaires</t>
  </si>
  <si>
    <t>Notes</t>
  </si>
  <si>
    <t>Conversion Factors</t>
  </si>
  <si>
    <t>Assumption #</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</si>
  <si>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</si>
  <si>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</si>
  <si>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</si>
  <si>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</si>
  <si>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</si>
  <si>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</si>
  <si>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</si>
  <si>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</si>
  <si>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</si>
  <si>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</si>
  <si>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</si>
  <si>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</si>
  <si>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</si>
  <si>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</si>
  <si>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</si>
  <si>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</si>
  <si>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</si>
  <si>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</si>
  <si>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</si>
  <si>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</si>
  <si>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</si>
  <si>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</si>
  <si>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</si>
  <si>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</si>
  <si>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</si>
  <si>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</si>
  <si>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</si>
  <si>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</si>
  <si>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</si>
  <si>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</si>
  <si>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</si>
  <si>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</si>
  <si>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</si>
  <si>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</si>
  <si>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</si>
  <si>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</si>
  <si>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</si>
  <si>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</si>
  <si>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</si>
  <si>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</si>
  <si>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</si>
  <si>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</si>
  <si>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</si>
  <si>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</si>
  <si>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</si>
  <si>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</si>
  <si>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</si>
  <si>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</si>
  <si>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</si>
  <si>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</si>
  <si>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</si>
  <si>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</si>
  <si>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</si>
  <si>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</si>
  <si>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</si>
  <si>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</si>
  <si>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</si>
  <si>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</si>
  <si>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</si>
  <si>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</si>
  <si>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</si>
  <si>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</si>
  <si>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</si>
  <si>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</si>
  <si>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</si>
  <si>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</si>
  <si>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</si>
  <si>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</si>
  <si>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</si>
  <si>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</si>
  <si>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</si>
  <si>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Date Created:</t>
  </si>
  <si>
    <t>Point of Contact:</t>
  </si>
  <si>
    <t>Timothy Skone (NETL), Timothy.Skone@NETL.DOE.GOV</t>
  </si>
  <si>
    <t>Revision History:</t>
  </si>
  <si>
    <t>Original/no revisions</t>
  </si>
  <si>
    <t>N/A</t>
  </si>
  <si>
    <t>Energy and Environmental Profile of the U.S. Mining Industry:  Chapter 2 Coal</t>
  </si>
  <si>
    <t>US Department of Energy</t>
  </si>
  <si>
    <t>National Mining Association</t>
  </si>
  <si>
    <t>Internet</t>
  </si>
  <si>
    <t>US Department of Energy, National Mining Association</t>
  </si>
  <si>
    <t>http://www1.eere.energy.gov/manufacturing/resources/mining/pdfs/coal.pdf</t>
  </si>
  <si>
    <t>United States</t>
  </si>
  <si>
    <t>Complete for the mine</t>
  </si>
  <si>
    <t>US Department of Energy and National Mining Association. Energy and Environmental Profile of the U.S. Mining Industry:  Chapter 2 Coal.  U.S. Department of Energy.  http://www1.eere.energy.gov/manufacturing/resources/mining/pdfs/coal.pdf  (Accessed May 30, 2013).</t>
  </si>
  <si>
    <t>18</t>
  </si>
  <si>
    <t>Btu/ton</t>
  </si>
  <si>
    <t>Converted Value</t>
  </si>
  <si>
    <t>1 short ton</t>
  </si>
  <si>
    <t>1998-2002</t>
  </si>
  <si>
    <r>
      <t>Note: All inputs and outputs are normalized per the reference flow (e.g., per 1 kg</t>
    </r>
    <r>
      <rPr>
        <b/>
        <sz val="10"/>
        <color indexed="8"/>
        <rFont val="Arial"/>
        <family val="2"/>
      </rPr>
      <t xml:space="preserve"> </t>
    </r>
    <r>
      <rPr>
        <sz val="10"/>
        <color indexed="8"/>
        <rFont val="Arial"/>
        <family val="2"/>
      </rPr>
      <t>of coal)</t>
    </r>
  </si>
  <si>
    <t>Coal</t>
  </si>
  <si>
    <t>Table 2-3</t>
  </si>
  <si>
    <t>Note: Some conversion factors are hard-keyed into calculations</t>
  </si>
  <si>
    <t>Explosive Use</t>
  </si>
  <si>
    <t>tons of explosives per year, avg</t>
  </si>
  <si>
    <t>kg of explosives/yr</t>
  </si>
  <si>
    <t>kg/yr ANFO explosives</t>
  </si>
  <si>
    <t>million tons coal/yr</t>
  </si>
  <si>
    <t>amt coal/yr for all of PRB</t>
  </si>
  <si>
    <t>kg/yr coal production</t>
  </si>
  <si>
    <t>kg ANFO/kg coal produced</t>
  </si>
  <si>
    <t>wt% ammonium nitrate</t>
  </si>
  <si>
    <t>wt% fuel oil</t>
  </si>
  <si>
    <t>kg ammonium nitrate/kg coal</t>
  </si>
  <si>
    <t>kg light fuel oil/kg coal</t>
  </si>
  <si>
    <t>Same for underground and surface mining</t>
  </si>
  <si>
    <t>Practical Observations of US Mining Practices and Implications for CTBT Monitoring</t>
  </si>
  <si>
    <t>Stump, B</t>
  </si>
  <si>
    <t>1995</t>
  </si>
  <si>
    <t>US DOE, Los Alamos National Laboratory</t>
  </si>
  <si>
    <t>LA-UR-95-2698</t>
  </si>
  <si>
    <t>http://www.osti.gov/bridge/servlets/purl/106510-W32p64/webviewable/106510.pdf</t>
  </si>
  <si>
    <t>1994</t>
  </si>
  <si>
    <t>Powder River Basin</t>
  </si>
  <si>
    <t>Stump, B. 1995. Practical Observations of US Mining Practices and Implications for CTBT Monitoring. U.S. Department of Energy, Los Alamos National Laboratory. LA-UR-95-2698. http://www.osti.gov/bridge/servlets/purl/106510-W32p64/webviewable/106510.pdf (Accessed May 30, 2013).</t>
  </si>
  <si>
    <t>Data for amount of explosives per year and coal produced per year in coal mine</t>
  </si>
  <si>
    <t>5,6</t>
  </si>
  <si>
    <t>Material Safety Datasheet, ANFO</t>
  </si>
  <si>
    <t>Maxam North America, Inc.</t>
  </si>
  <si>
    <t>2010</t>
  </si>
  <si>
    <t>1, Section 2</t>
  </si>
  <si>
    <t>http://www.maxam.net/buscador_ceprods_action/9887</t>
  </si>
  <si>
    <t>Maxam North America, Inc. 2010. Material Safety Data Sheet, ANFO.  Maxam North America, Inc.  http://www.maxam.net/buscador_ceprods_action/9887  (Accessed May 30, 2013).</t>
  </si>
  <si>
    <t>From website choose 'United States' for country and 'Explosives' for select product offering, then choose RIOXAM's MSDS. Ammonium nitrate and fuel oil percentage</t>
  </si>
  <si>
    <t>Explosives</t>
  </si>
  <si>
    <t>Air Emission Factors</t>
  </si>
  <si>
    <t>Item</t>
  </si>
  <si>
    <t>VOCs</t>
  </si>
  <si>
    <t>tons/yr</t>
  </si>
  <si>
    <t>thousand short tons</t>
  </si>
  <si>
    <t>kg/kg coal</t>
  </si>
  <si>
    <t>For PRB mines</t>
  </si>
  <si>
    <t>For subbituminous coal</t>
  </si>
  <si>
    <t>PM</t>
  </si>
  <si>
    <t>U.S. Coal Production and Number of Mines by State and Coal Type</t>
  </si>
  <si>
    <t>2012</t>
  </si>
  <si>
    <t>http://www.nma.org/pdf/c_production_mines_state_type.pdf</t>
  </si>
  <si>
    <t>2011</t>
  </si>
  <si>
    <t>National Mining Association.  U.S. Coal Production and Number of Mines by State and Coal Type.  National Mining Association.  http://www.nma.org/pdf/c_production_mines_state_type.pdf  (Accessed May 31, 2013)</t>
  </si>
  <si>
    <t>Bituminous, subbituminous, and lignite coal productions</t>
  </si>
  <si>
    <t>Air Quality and Visibility Impacts of Powder River Basin Coal Mining at Badlands National Park</t>
  </si>
  <si>
    <t>McVehil, G. E.</t>
  </si>
  <si>
    <t>Addison, E.L., Baugues, K.A.</t>
  </si>
  <si>
    <t>2001</t>
  </si>
  <si>
    <t>U.S. Environmental Protection Agency</t>
  </si>
  <si>
    <t>8</t>
  </si>
  <si>
    <t>Table 4-1</t>
  </si>
  <si>
    <t>http://www.techtransfer.osmre.gov/NTTMainSite/Library/pub/airquality/toc.pdf</t>
  </si>
  <si>
    <t>1989-1998</t>
  </si>
  <si>
    <t>McVehil, G.E.; Addison, E.L.; Baugues, K.A.  2001.  Air Quality and Visibility Impacts of Powder River Basin Coal Mining at Badlands National Park. Abandoned Coal Mine Lands Research Program, University of Wyoming.  http://www.techtransfer.osmre.gov/NTTMainSite/Library/pub/airquality/toc.pdf  (Accessed May 31, 2013)</t>
  </si>
  <si>
    <t>Data for estimated VOC emissions  in coal trains and PRB mines</t>
  </si>
  <si>
    <t>Emission to air</t>
  </si>
  <si>
    <t>Rotary drills energy requirement</t>
  </si>
  <si>
    <t>Water tankers energy requirement</t>
  </si>
  <si>
    <t>Pumps energy requirement</t>
  </si>
  <si>
    <t>Graders energy requirement</t>
  </si>
  <si>
    <t>Appendix A British Thermal Unit Conversion Factors</t>
  </si>
  <si>
    <t>U.S. Energy Information Administration</t>
  </si>
  <si>
    <t>1</t>
  </si>
  <si>
    <t>Table A1</t>
  </si>
  <si>
    <t>http://www.eia.gov/totalenergy/data/annual/pdf/sec12.pdf</t>
  </si>
  <si>
    <t>U.S. Energy Information Administration.  2011.  Appendix A British Thermal Unit Conversion Factors.  U.S. Energy Information Administration.  http://www.eia.gov/totalenergy/data/annual/pdf/sec12.pdf (Accessed July 1, 2013)</t>
  </si>
  <si>
    <t>Diesel density in MMBtu/bbl</t>
  </si>
  <si>
    <t>diesel density</t>
  </si>
  <si>
    <t>lb/gal</t>
  </si>
  <si>
    <t>kg/gal</t>
  </si>
  <si>
    <t>kg/L</t>
  </si>
  <si>
    <t>Btu/kg</t>
  </si>
  <si>
    <t>1 kg</t>
  </si>
  <si>
    <t>lbs</t>
  </si>
  <si>
    <t>1 gallon</t>
  </si>
  <si>
    <t>L</t>
  </si>
  <si>
    <t>1 bbl</t>
  </si>
  <si>
    <t>gallons</t>
  </si>
  <si>
    <t>kg/kg</t>
  </si>
  <si>
    <t>Note:  Listed references since inputs/outputs have multiple sources</t>
  </si>
  <si>
    <t>PM Emissions</t>
  </si>
  <si>
    <t>ft2</t>
  </si>
  <si>
    <t>lb/yr</t>
  </si>
  <si>
    <t>kg/yr</t>
  </si>
  <si>
    <t>ft</t>
  </si>
  <si>
    <t>acres</t>
  </si>
  <si>
    <t>acres/yr</t>
  </si>
  <si>
    <t>square ft/yr</t>
  </si>
  <si>
    <t>ft3/yr</t>
  </si>
  <si>
    <t>mm</t>
  </si>
  <si>
    <t>lb/acre-hr</t>
  </si>
  <si>
    <t>lb/kg coal</t>
  </si>
  <si>
    <t>AP 42, Fifth Edition, Volume I, Chapter 11: Mineral Products Industry, 11.9 Western Surface Coal Mining</t>
  </si>
  <si>
    <t>2009</t>
  </si>
  <si>
    <t>5,9,12,13</t>
  </si>
  <si>
    <t>Tables 11.9-1, 11.9-3, 11.9-5,11.9-6</t>
  </si>
  <si>
    <t>http://www.epa.gov/ttn/chief/ap42/ch11/index.html</t>
  </si>
  <si>
    <t>1998</t>
  </si>
  <si>
    <t>U.S. Environmental Protection Agency. 2009. AP 42, Fifth Edition, Volume I, Chapter 11: Mineral Products Industry, 11.9 Western Surface Coal Mining. U.S.  Environmental Protectin Agency.  http://www.epa.gov/ttn/chief/ap42/ch11/index.html (May 30, 2013).</t>
  </si>
  <si>
    <t>Quality Guidelines for Energy System Studies:  Specifications for Selected Feedstocks</t>
  </si>
  <si>
    <t>U.S. Department of Energy, National Energy Technology Laboratory</t>
  </si>
  <si>
    <t>5</t>
  </si>
  <si>
    <t>Exhibit 1-2</t>
  </si>
  <si>
    <t>http://www.netl.doe.gov/energy-analyses/pubs/QGESSSec1.pdf</t>
  </si>
  <si>
    <t>U.S. Department of Energy, National Energy Technology Laboratory.  2012.  Quality Guidelines for Energy System Studies:  Specifications for Selected Feedstocks.  U.S. Department of Energy, National Energy Technology Laboratory.  http://www.netl.doe.gov/energy-analyses/pubs/QGESSSec1.pdf (Accessed July 1, 2013)</t>
  </si>
  <si>
    <t>Moisture content from ultimate analyses of Texas lignite, PRB Montana, and Illlinois #6 coals</t>
  </si>
  <si>
    <t>623G Wheel Tractor Scraper</t>
  </si>
  <si>
    <t>Caterpillar, Inc.</t>
  </si>
  <si>
    <t>http://www.cat.com/cda/layout?x=7&amp;m=607409</t>
  </si>
  <si>
    <t>2003</t>
  </si>
  <si>
    <t>Caterpillar.  623G Wheel Tractor Scraper. Caterpillar, Inc.  http://www.cat.com/cda/layout?x=7&amp;m=607409  (Accessed May 30, 2013).</t>
  </si>
  <si>
    <t>Scraper bowl width and depth of cut</t>
  </si>
  <si>
    <t>Assumed 5 mph grading speed</t>
  </si>
  <si>
    <t>Assumed 20 year lifetime of coal mine, for existing mines</t>
  </si>
  <si>
    <t>Assumed that mitigation measures would reduce emissions by 85%</t>
  </si>
  <si>
    <t>Coal Mine Production</t>
  </si>
  <si>
    <t>Mine</t>
  </si>
  <si>
    <t>Production (short tons/year)</t>
  </si>
  <si>
    <t>Average</t>
  </si>
  <si>
    <t>Surface Average Mine Production</t>
  </si>
  <si>
    <t>North Antelope-Rochelle</t>
  </si>
  <si>
    <t>Black Thunder</t>
  </si>
  <si>
    <t>Jacobs Ranch</t>
  </si>
  <si>
    <t>Cordero Rojo</t>
  </si>
  <si>
    <t>2008 Coal Producer Survey</t>
  </si>
  <si>
    <t>13,14</t>
  </si>
  <si>
    <t>Tables 2,3</t>
  </si>
  <si>
    <t>http://www.nma.org/pdf/members/coal_producer_survey2008.pdf</t>
  </si>
  <si>
    <t>2008</t>
  </si>
  <si>
    <r>
      <t xml:space="preserve">National Mining Association.  2009. </t>
    </r>
    <r>
      <rPr>
        <sz val="10"/>
        <rFont val="Arial"/>
        <family val="2"/>
      </rPr>
      <t>2008 Coal Producer Survey.  National Mining Association. Washington, D.C.  May, 2009.   http://www.nma.org/pdf/members/coal_producer_survey2008.pdf (Accessed May 30, 2013).</t>
    </r>
  </si>
  <si>
    <t>Data for surface mine production</t>
  </si>
  <si>
    <t>Mine Production</t>
  </si>
  <si>
    <t>Density subbituminous coal</t>
  </si>
  <si>
    <t>lbs/ft3</t>
  </si>
  <si>
    <t>1 yd3</t>
  </si>
  <si>
    <t>ft3</t>
  </si>
  <si>
    <t>Fuel Blending with PRB Coal</t>
  </si>
  <si>
    <t>McCarthney, R. H.</t>
  </si>
  <si>
    <t>Williams Jr, R.L.</t>
  </si>
  <si>
    <t>Power-Gen Worldwide</t>
  </si>
  <si>
    <t>http://pepei.pennnet.com/display_article/355445/6/ARTCL/none/none/1/Fuel-Blending-with-PRB-Coal/</t>
  </si>
  <si>
    <t>McCarthney, R.H. &amp; Williams Jr., R.L. 2010. Fuel Blending with PRB Coal. Power-Gen Worldwide. http://pepei.pennnet.com/display_article/355445/6/ARTCL/none/none/1/Fuel-Blending-with-PRB-Coal/ (Accessed June 28, 2013).</t>
  </si>
  <si>
    <t>Bituminous and subbituminous coal densities</t>
  </si>
  <si>
    <t>1 acre</t>
  </si>
  <si>
    <t>days</t>
  </si>
  <si>
    <t>1 year</t>
  </si>
  <si>
    <t>1 yd3 of subbituminous coal</t>
  </si>
  <si>
    <t>1 foot</t>
  </si>
  <si>
    <t>1 mile</t>
  </si>
  <si>
    <t>1 day</t>
  </si>
  <si>
    <t>hours</t>
  </si>
  <si>
    <t>VOC</t>
  </si>
  <si>
    <t>[kg/kg] Mass of VOC emissions per unit of coal produced</t>
  </si>
  <si>
    <t>2,3</t>
  </si>
  <si>
    <t>[kg/kg] Mass of light fuel oil per unit of coal produced</t>
  </si>
  <si>
    <t>[kg/kg] Mass of ammonium nitrate per unit of coal produced</t>
  </si>
  <si>
    <t>Surface coal extraction</t>
  </si>
  <si>
    <t>1989-2011</t>
  </si>
  <si>
    <t>10, page 14, Table 3</t>
  </si>
  <si>
    <t>2 page 6, top of page, 300,000-400,000 tons of explosives</t>
  </si>
  <si>
    <t>2 page 5, bottom of page, 225 million tons of total coal production for Basin in 1994</t>
  </si>
  <si>
    <t>3 page 1, section 2</t>
  </si>
  <si>
    <t>5, Table 4-1</t>
  </si>
  <si>
    <t>Total Production, 2011</t>
  </si>
  <si>
    <t>VOC (unspecified) [Organic emissions to air]</t>
  </si>
  <si>
    <t>Data for energy requirements for surface mines</t>
  </si>
  <si>
    <t>Emission factor equations for open dust sources at surface mines and supporting data</t>
  </si>
  <si>
    <t>dimensionless</t>
  </si>
  <si>
    <t>Diesel extraction</t>
  </si>
  <si>
    <t>All equipment uses diesel</t>
  </si>
  <si>
    <t>Western Surface Coal Mine</t>
  </si>
  <si>
    <t>Cable shovels (western)/Hydraulic shovels (interior) energy requirement</t>
  </si>
  <si>
    <t>[Technosphere] Amount of light fuel oil required for explosives used in blasting coal from a surface mine.</t>
  </si>
  <si>
    <t>[Technosphere] Amount of ammonium nitrate required for explosives used in blasting coal from a surface mine.</t>
  </si>
  <si>
    <t>[Technosphere] Amount of diesel required for equipment used in blasting coal from a surface mine.</t>
  </si>
  <si>
    <t>Thermal Energy from Diesel Fuel [Energy resources]</t>
  </si>
  <si>
    <t>Light fuel oil [Refinery Products]</t>
  </si>
  <si>
    <t>Ammonium nitrate [Inorganic intermediate products]</t>
  </si>
  <si>
    <t>Dust (PM2.5) [Particles to air]</t>
  </si>
  <si>
    <t>Dust (PM10) [Particles to air]</t>
  </si>
  <si>
    <t xml:space="preserve"> </t>
  </si>
  <si>
    <t>kg PM2.5/kg coal</t>
  </si>
  <si>
    <t>kg PM10/kg coal</t>
  </si>
  <si>
    <t>kg PM2.5/yr</t>
  </si>
  <si>
    <t>kg PM10/yr</t>
  </si>
  <si>
    <t>PM25_total</t>
  </si>
  <si>
    <t>PM25_unmit</t>
  </si>
  <si>
    <t>PM10_total</t>
  </si>
  <si>
    <t>PM10_unmit</t>
  </si>
  <si>
    <t>[kg/kg] Mass of total PM2.5 emissions per unit of coal produced</t>
  </si>
  <si>
    <t>[kg/kg] Mass of total PM10 emissions per unit of coal produced</t>
  </si>
  <si>
    <t>[kg/kg] Amount of diesel energy input per unit of coal produced</t>
  </si>
  <si>
    <t>percent_mit</t>
  </si>
  <si>
    <t>PM10_total*(1-percent_mit)</t>
  </si>
  <si>
    <t>PM25_total*(1-percent_mit)</t>
  </si>
  <si>
    <t>[dimensionless] Fraction of PM emissions that are mitigated</t>
  </si>
  <si>
    <t>[kg/kg] Mass of unmitigated PM10 emissions per unit of coal produced</t>
  </si>
  <si>
    <t>[kg/kg] Mass of unmitigated PM2.5 emissions per unit of coal produced</t>
  </si>
  <si>
    <t>[Resource] Amount of coal extracted</t>
  </si>
  <si>
    <t>Coal, mine methane [Intermediate Product]</t>
  </si>
  <si>
    <t>[Technosphere] Connection with coal mine methane unit process</t>
  </si>
  <si>
    <t>Coal, surface [Resource]</t>
  </si>
  <si>
    <t>Coal, surface, extracted [Intermediate Product]</t>
  </si>
  <si>
    <t>PRB Coal Surface Mine [Valuable substances]</t>
  </si>
  <si>
    <t>pcs</t>
  </si>
  <si>
    <t>PRB comm [Valuable substances]</t>
  </si>
  <si>
    <t>[Technosphere] Connection with surface coal mine construction</t>
  </si>
  <si>
    <t>[Technosphere] Connection with surface coal mine commissioning/decommissioning</t>
  </si>
  <si>
    <t>Abandoned Coal Mine Lands Research Program, University of Wyoming</t>
  </si>
  <si>
    <t>Assume VOC amount is for one year</t>
  </si>
  <si>
    <t>PM data calculated for surface mine only, not specfic coal types</t>
  </si>
  <si>
    <t>Processes\NETL Power\Power 2012\Saline Aquifer</t>
  </si>
  <si>
    <t>Database</t>
  </si>
  <si>
    <t>NETL Comp DB with TAR Models Loaded 07132012 - Loaded 10052012 [C:\Users\558108\Documents\GaBi\DB\Converted DBs to GaBi 5.0 Format\NETL Comp DB with TAR Models Loaded 07132012 - Loaded 10052012.GabiDB]</t>
  </si>
  <si>
    <t>Name</t>
  </si>
  <si>
    <t>u-so - Unit process, single operation</t>
  </si>
  <si>
    <t>Documentation</t>
  </si>
  <si>
    <t>Process information</t>
  </si>
  <si>
    <t>Key information</t>
  </si>
  <si>
    <t>Treatment, standards, routes</t>
  </si>
  <si>
    <t>Mix and location types</t>
  </si>
  <si>
    <t>Further quantitative specifications</t>
  </si>
  <si>
    <t>Synonyms</t>
  </si>
  <si>
    <t>Complementing processes</t>
  </si>
  <si>
    <t>Statistical classification</t>
  </si>
  <si>
    <t>General comment</t>
  </si>
  <si>
    <t>Quantitative reference</t>
  </si>
  <si>
    <t>Type of quantitative reference</t>
  </si>
  <si>
    <t>Reference flow(s)</t>
  </si>
  <si>
    <t>Functional unit, production period, or other parameter</t>
  </si>
  <si>
    <t>Time representativeness</t>
  </si>
  <si>
    <t>Reference year</t>
  </si>
  <si>
    <t>Data set valid until</t>
  </si>
  <si>
    <t>Geography</t>
  </si>
  <si>
    <t>Meridian</t>
  </si>
  <si>
    <t>Latitude</t>
  </si>
  <si>
    <t>Geographical representativeness</t>
  </si>
  <si>
    <t>Technological representativeness</t>
  </si>
  <si>
    <t>Technology description including background system</t>
  </si>
  <si>
    <t>Included data sets</t>
  </si>
  <si>
    <t>Technical purpose of product or process</t>
  </si>
  <si>
    <t>Pictogramme of technology</t>
  </si>
  <si>
    <t>No image</t>
  </si>
  <si>
    <t>Flow diagram(s) or picture(s)</t>
  </si>
  <si>
    <t>Mathematical model</t>
  </si>
  <si>
    <t>Model description</t>
  </si>
  <si>
    <t>Modelling and validation</t>
  </si>
  <si>
    <t>LCI method and allocation</t>
  </si>
  <si>
    <t>LCI method principle</t>
  </si>
  <si>
    <t>Deviation from LCI method principle/explanations</t>
  </si>
  <si>
    <t>LCI method approaches</t>
  </si>
  <si>
    <t>Deviations from LCI method approaches/explanations</t>
  </si>
  <si>
    <t>Modeling constants</t>
  </si>
  <si>
    <t>Deviation from Modeling constants / explanations</t>
  </si>
  <si>
    <t>LCA methodology report</t>
  </si>
  <si>
    <t>Data sources and handling</t>
  </si>
  <si>
    <t>Data cut-off and completeness principles</t>
  </si>
  <si>
    <t>Deviation from data cut-off and completeness principles / explanations</t>
  </si>
  <si>
    <t>Data selection and combination principles</t>
  </si>
  <si>
    <t>Deviation from data selection and combination principles / explanations</t>
  </si>
  <si>
    <t>Data treatment and extrapolations principles</t>
  </si>
  <si>
    <t>Deviation from data treatment and extrapolations principles / explanations</t>
  </si>
  <si>
    <t>Data handling report</t>
  </si>
  <si>
    <t>Data source(s) used for this data set</t>
  </si>
  <si>
    <t>Percentage supply or production covered</t>
  </si>
  <si>
    <t>Annual supply or production volume</t>
  </si>
  <si>
    <t>Sampling procedure</t>
  </si>
  <si>
    <t>Data collection period</t>
  </si>
  <si>
    <t>Uncertainty adjustments</t>
  </si>
  <si>
    <t>Use advice for data set</t>
  </si>
  <si>
    <t>Supported impact assessment methods</t>
  </si>
  <si>
    <t>Validation</t>
  </si>
  <si>
    <t>Review</t>
  </si>
  <si>
    <t>Compliance declarations</t>
  </si>
  <si>
    <t>Compliance system</t>
  </si>
  <si>
    <t>Overall compliance</t>
  </si>
  <si>
    <t>Nomenclature and hierarchy compliance</t>
  </si>
  <si>
    <t>Methodological compliance</t>
  </si>
  <si>
    <t>Review compliance</t>
  </si>
  <si>
    <t>Documentation compliance</t>
  </si>
  <si>
    <t>Administrative information</t>
  </si>
  <si>
    <t>Commissioner and goal</t>
  </si>
  <si>
    <t>Commissioner of data set</t>
  </si>
  <si>
    <t>Project</t>
  </si>
  <si>
    <t>Intended applications</t>
  </si>
  <si>
    <t>Dataset generator/modeller</t>
  </si>
  <si>
    <t>Data entry by</t>
  </si>
  <si>
    <t>Converted dataset from</t>
  </si>
  <si>
    <t>Official approval of data set by producer/operator</t>
  </si>
  <si>
    <t>Publication and ownership</t>
  </si>
  <si>
    <t>Workflow and publication status</t>
  </si>
  <si>
    <t>Working draft</t>
  </si>
  <si>
    <t>Unchanged republication of</t>
  </si>
  <si>
    <t>Registration authority</t>
  </si>
  <si>
    <t>Registration number</t>
  </si>
  <si>
    <t>Entities or persons with exclusive access to this data set</t>
  </si>
  <si>
    <t>License type</t>
  </si>
  <si>
    <t>Free of charge for all users and uses</t>
  </si>
  <si>
    <t>Access and use restrictions</t>
  </si>
  <si>
    <t>Owner of the data set</t>
  </si>
  <si>
    <t>Minimum</t>
  </si>
  <si>
    <t>Maximum</t>
  </si>
  <si>
    <t>Standard deviation</t>
  </si>
  <si>
    <t>Comment, units, defaults</t>
  </si>
  <si>
    <t>No statement</t>
  </si>
  <si>
    <t>Inputs</t>
  </si>
  <si>
    <t>Quantity</t>
  </si>
  <si>
    <t>Tracked flows</t>
  </si>
  <si>
    <t>Comment</t>
  </si>
  <si>
    <t>Outputs</t>
  </si>
  <si>
    <t>Flow costs</t>
  </si>
  <si>
    <t>Inputs/Outputs</t>
  </si>
  <si>
    <t>Price</t>
  </si>
  <si>
    <t>Overhead ratio</t>
  </si>
  <si>
    <t>Cost</t>
  </si>
  <si>
    <t>Machine costs</t>
  </si>
  <si>
    <t>Machine</t>
  </si>
  <si>
    <t>Cycle time</t>
  </si>
  <si>
    <t>Direct cost per hour</t>
  </si>
  <si>
    <t>Personnel costs</t>
  </si>
  <si>
    <t>Employees</t>
  </si>
  <si>
    <t>Hourly wage</t>
  </si>
  <si>
    <t>LCWE</t>
  </si>
  <si>
    <t>Alias/factor</t>
  </si>
  <si>
    <t>Qualified working time (QWT): Defaults</t>
  </si>
  <si>
    <t>internal</t>
  </si>
  <si>
    <t>external</t>
  </si>
  <si>
    <t>GQL A</t>
  </si>
  <si>
    <t>Working time (LCWE)</t>
  </si>
  <si>
    <t>Seconds worked</t>
  </si>
  <si>
    <t>(No statement)</t>
  </si>
  <si>
    <t>GQL B</t>
  </si>
  <si>
    <t>GQL C</t>
  </si>
  <si>
    <t>GQL D</t>
  </si>
  <si>
    <t>GQL E</t>
  </si>
  <si>
    <t>Health and Safety (HSWT): Defaults</t>
  </si>
  <si>
    <t>Lethal accidents</t>
  </si>
  <si>
    <t>Number (LCWE)</t>
  </si>
  <si>
    <t>Cases</t>
  </si>
  <si>
    <t>Serious non-lethal accidents</t>
  </si>
  <si>
    <t>Unhealthy labour conditions</t>
  </si>
  <si>
    <t>Humanity of working conditions (HWT): Defaults</t>
  </si>
  <si>
    <t>Actual women employment</t>
  </si>
  <si>
    <t>Child labour</t>
  </si>
  <si>
    <t>Discrimination in job access</t>
  </si>
  <si>
    <t>Forced labour</t>
  </si>
  <si>
    <t>Hazardous child labour</t>
  </si>
  <si>
    <t>No collective bargaining</t>
  </si>
  <si>
    <t>No right to organise</t>
  </si>
  <si>
    <t>Unequal remuneration</t>
  </si>
  <si>
    <t>GaBi 5 Import</t>
  </si>
  <si>
    <t>Data Summary page formatted for importation into the GaBi 5</t>
  </si>
  <si>
    <t>GaBi 6</t>
  </si>
  <si>
    <t>Blasting</t>
  </si>
  <si>
    <t>lb PM30/blast</t>
  </si>
  <si>
    <t>blasts per week, average</t>
  </si>
  <si>
    <t>blasts per year</t>
  </si>
  <si>
    <t>lb PM30/yr</t>
  </si>
  <si>
    <t>kg PM30/yr</t>
  </si>
  <si>
    <t>kg PM30/kg coal</t>
  </si>
  <si>
    <t>Truck Loading</t>
  </si>
  <si>
    <t>lb PM15/ton coal</t>
  </si>
  <si>
    <t>kg PM15/ton coal</t>
  </si>
  <si>
    <t>kg PM15/kg coal</t>
  </si>
  <si>
    <t>lb PM30/ton coal</t>
  </si>
  <si>
    <t>kg PM30/ton coal</t>
  </si>
  <si>
    <t>Bulldozing</t>
  </si>
  <si>
    <t>lb PM15/hr</t>
  </si>
  <si>
    <t>for coal</t>
  </si>
  <si>
    <t>kg PM15/yr</t>
  </si>
  <si>
    <t>lb PM30/hr</t>
  </si>
  <si>
    <t>for overburden</t>
  </si>
  <si>
    <t>TOTAL</t>
  </si>
  <si>
    <t>coal + overburden</t>
  </si>
  <si>
    <t>kg PM15/kg</t>
  </si>
  <si>
    <t>kg PM30/kg</t>
  </si>
  <si>
    <t>Dragline</t>
  </si>
  <si>
    <t>lb PM15/yd3</t>
  </si>
  <si>
    <t>kg PM15/yd3</t>
  </si>
  <si>
    <t>lb PM30/yd3</t>
  </si>
  <si>
    <t>kg PM30/yd3</t>
  </si>
  <si>
    <t>Grading</t>
  </si>
  <si>
    <t>Total disturbed area</t>
  </si>
  <si>
    <t>Assumption [4]</t>
  </si>
  <si>
    <t>overburden thickness</t>
  </si>
  <si>
    <t>grader cut depth</t>
  </si>
  <si>
    <t>grader cut width</t>
  </si>
  <si>
    <t>cubic ft</t>
  </si>
  <si>
    <t>grader cut vol per mile</t>
  </si>
  <si>
    <t>miles</t>
  </si>
  <si>
    <t>miles traveled by grader per year</t>
  </si>
  <si>
    <t>miles/kg coal</t>
  </si>
  <si>
    <t>miles traveled by grader per kg coal</t>
  </si>
  <si>
    <t>lb PM15/VMT</t>
  </si>
  <si>
    <t>VMT = vehicle miles traveled</t>
  </si>
  <si>
    <t>Assumption [3]</t>
  </si>
  <si>
    <t>lb PM30/VMT</t>
  </si>
  <si>
    <t>Storage</t>
  </si>
  <si>
    <t>Grand Total</t>
  </si>
  <si>
    <t xml:space="preserve">Mine Energy Assessment, Supplemental Report, Peabody Energy Company, Gillette, Wyoming. </t>
  </si>
  <si>
    <t>Peabody Energy Company</t>
  </si>
  <si>
    <t>2005</t>
  </si>
  <si>
    <t>October 31, 2005</t>
  </si>
  <si>
    <t>2004</t>
  </si>
  <si>
    <t>Peabody Energy Company. 2005. Mine Energy Assesment, Supplemental Report, Peabody Energy Company, Gillette, Wyoming. Peabody Energy Company.</t>
  </si>
  <si>
    <t>Reference [7]</t>
  </si>
  <si>
    <t>Reference [9]; "scraper Bowl" table, 4th entry</t>
  </si>
  <si>
    <t>Reference [9]; "scraper Bowl" table, 5th entry</t>
  </si>
  <si>
    <t>AP 42, Fifth Edition, Volume I, Chapter 13: Miscellaneous Sources</t>
  </si>
  <si>
    <t>EPA</t>
  </si>
  <si>
    <t>2006</t>
  </si>
  <si>
    <t>US EPA</t>
  </si>
  <si>
    <t>http://www.epa.gov/ttn/chief/ap42/ch13/final/c13s0204.pdf</t>
  </si>
  <si>
    <t>Particle size multiplier from 13.2.4 Aggregate Handling And Storage Piles</t>
  </si>
  <si>
    <t>Reference [13]</t>
  </si>
  <si>
    <t>Assumption [5]</t>
  </si>
  <si>
    <t>Assume that storage area is 10% of graded area</t>
  </si>
  <si>
    <t>Assumption [9]</t>
  </si>
  <si>
    <t>Assumes that PM2.5/PM10 ratio for storage is the same as that for truck loading</t>
  </si>
  <si>
    <t>Assumption [10]</t>
  </si>
  <si>
    <t>Total electricity</t>
  </si>
  <si>
    <t>kWh/ton</t>
  </si>
  <si>
    <t>Total diesel fuel</t>
  </si>
  <si>
    <t>Scenario ID</t>
  </si>
  <si>
    <t>Scenario Descriptions:</t>
  </si>
  <si>
    <t>[Units] Comments</t>
  </si>
  <si>
    <t>Enter a Scenario ID below:</t>
  </si>
  <si>
    <t>Parameter Scenarios</t>
  </si>
  <si>
    <t>Subheader as Needed</t>
  </si>
  <si>
    <t>Surface Mine Stripping Ratios - Overburden Removed per Coal Extracted</t>
  </si>
  <si>
    <t>Mine waste production</t>
  </si>
  <si>
    <t>t/day</t>
  </si>
  <si>
    <t>Western U.S. strip ratio</t>
  </si>
  <si>
    <t>Mine coal production</t>
  </si>
  <si>
    <t>t waste/ t coal</t>
  </si>
  <si>
    <t>Australia strip ratio</t>
  </si>
  <si>
    <t>Indonesia strip ratio</t>
  </si>
  <si>
    <t>PM25_doze_OB</t>
  </si>
  <si>
    <t>PM25_blast_OB</t>
  </si>
  <si>
    <t>PM25_load_C</t>
  </si>
  <si>
    <t>PM25_drag_OB</t>
  </si>
  <si>
    <t>PM25_storage_C</t>
  </si>
  <si>
    <t>PM10_blast_OB</t>
  </si>
  <si>
    <t>PM10_load_C</t>
  </si>
  <si>
    <t>PM10_doze_OB</t>
  </si>
  <si>
    <t>PM10_drag_OB</t>
  </si>
  <si>
    <t>PM10_storage_C</t>
  </si>
  <si>
    <t>PM25_blast_C</t>
  </si>
  <si>
    <t>PM25_doze_C</t>
  </si>
  <si>
    <t>PM10_blast_C</t>
  </si>
  <si>
    <t>PM10_doze_C</t>
  </si>
  <si>
    <t>[kg/kg] Mass of PM2.5 emissions per unit of coal produced from overburden bulldozing</t>
  </si>
  <si>
    <t>[Technosphere] Amount of electricity input per unit of coal produced</t>
  </si>
  <si>
    <t>Electricity [Electric power]</t>
  </si>
  <si>
    <t>Western U.S. emission factor</t>
  </si>
  <si>
    <t>Australia emission factor</t>
  </si>
  <si>
    <t>Indonesia emission factor</t>
  </si>
  <si>
    <t>The Energy and non-combustion emissions for the operation of a surface coal mine.</t>
  </si>
  <si>
    <t>This unit process provides a summary of relevant input and output flows associated with the extraction of coal from a surface mine. This includes the amount of electricity and fuel required to power equipment and the direct particulate matter (PM) and volatile organic compound (VOC) emissions from operating equipment and using explosives. Combustion emissions are not included in this unit process.</t>
  </si>
  <si>
    <t>Calculations:  Coal production from the mine</t>
  </si>
  <si>
    <t>Calculations:  Direct PM emissions for mining</t>
  </si>
  <si>
    <t>Calculations:  Direct VOC emissions for mining</t>
  </si>
  <si>
    <t>Energy</t>
  </si>
  <si>
    <t>Calculations:  Electricity and diesel requirements</t>
  </si>
  <si>
    <t>PM25_grade_OB</t>
  </si>
  <si>
    <t>PM10_grade_OB</t>
  </si>
  <si>
    <t>http://www.platts.com/latest-news/coal/manila/indonesian-coal-producers-cut-costs-to-sustain-26917488</t>
  </si>
  <si>
    <t>Stripping ratio for Australian surface coal mines</t>
  </si>
  <si>
    <t>Indonesian coal producers cut costs to sustain profits as prices fall</t>
  </si>
  <si>
    <t>2014</t>
  </si>
  <si>
    <t>10/29/14</t>
  </si>
  <si>
    <t>Platts</t>
  </si>
  <si>
    <t xml:space="preserve">Platts (2014) Indonesian coal producers cut costs to sustain profits as prices fall.  </t>
  </si>
  <si>
    <t>Average stripping ratio for Indonesian surface coal mines</t>
  </si>
  <si>
    <t>Michael Mewing</t>
  </si>
  <si>
    <t>2015</t>
  </si>
  <si>
    <t>4/27/15</t>
  </si>
  <si>
    <t>Ambre Energy/Lighthouse Resources</t>
  </si>
  <si>
    <t>Reference [7], Table 11.9-6</t>
  </si>
  <si>
    <t>On a per mine basis</t>
  </si>
  <si>
    <t>1, Table 2-6 Notes</t>
  </si>
  <si>
    <t>Hypothetical Western mine</t>
  </si>
  <si>
    <t>Assumed two 10-hour shifts (20 hrs) per day for 360 days a year. See reference 1, Table 2-6 Notes. Assumed only 16 hour/day usage of equipment, though (eight hours per shift)</t>
  </si>
  <si>
    <t>This sheet calculates NOx emissions from the use of explosives</t>
  </si>
  <si>
    <t>tons NOx/yr</t>
  </si>
  <si>
    <t>16 (pg. 1-5)</t>
  </si>
  <si>
    <t>mmtpy coal/yr</t>
  </si>
  <si>
    <t>tpy coal/yr</t>
  </si>
  <si>
    <t>kg NOx/kgcoal</t>
  </si>
  <si>
    <t>NOx emissions from use of explosives on coal at Spring Creek mine</t>
  </si>
  <si>
    <t>NOx emissions from use of explosives on OB at Spring Creek mine</t>
  </si>
  <si>
    <t>16 (Table 3-6)</t>
  </si>
  <si>
    <t>Explosives on Coal</t>
  </si>
  <si>
    <t>Explosives on OB</t>
  </si>
  <si>
    <t>Coal production at Spring Creek mine</t>
  </si>
  <si>
    <t>Coal Production at Spring Creek mine</t>
  </si>
  <si>
    <t>NOx_OB</t>
  </si>
  <si>
    <t>NOx_total</t>
  </si>
  <si>
    <t>NOx_C</t>
  </si>
  <si>
    <t xml:space="preserve">[kg/kg] Mass of PM2.5 emissions from overburden blasting per unit of coal produced </t>
  </si>
  <si>
    <t xml:space="preserve">[kg/kg] Mass of PM2.5 emissions from overburden dragline operations per unit of coal produced </t>
  </si>
  <si>
    <t>[kg/kg] Mass of PM2.5 emissions  from grading per unit of coal produced</t>
  </si>
  <si>
    <t xml:space="preserve">[kg/kg] Mass of PM10 emissions from overburden blasting per unit of coal produced </t>
  </si>
  <si>
    <t>[kg/kg] Mass of PM10 emissions from overburden bulldozing per unit of coal produced from overburden bulldozing</t>
  </si>
  <si>
    <t xml:space="preserve">[kg/kg] Mass of PM10 emissions from overburden dragline operations per unit of coal produced </t>
  </si>
  <si>
    <t xml:space="preserve">[kg/kg] Mass of PM10 emissions from grading per unit of coal produced </t>
  </si>
  <si>
    <t>[kg/kg] Mass of PM2.5 emissions from coal blasting per unit of coal produced</t>
  </si>
  <si>
    <t xml:space="preserve">[kg/kg] Mass of PM2.5 emissions from coal loading (truck) per unit of coal produced </t>
  </si>
  <si>
    <t>[kg/kg] Mass of PM2.5 emissions from coal bulldozing per unit of coal produced from coal bulldozing</t>
  </si>
  <si>
    <t xml:space="preserve">[kg/kg] Mass of PM2.5 emissions from coal storage per unit of coal produced </t>
  </si>
  <si>
    <t>[kg/kg] Mass of PM10 emissions from coal blasting per unit of coal produced</t>
  </si>
  <si>
    <t xml:space="preserve">[kg/kg] Mass of PM10 emissions from coal loading (truck) per unit of coal produced </t>
  </si>
  <si>
    <t xml:space="preserve">[kg/kg] Mass of PM10 emissions from coal bulldozing per unit of coal produced </t>
  </si>
  <si>
    <t xml:space="preserve">[kg/kg] Mass of PM10 emissions from coal storage per unit of coal produced </t>
  </si>
  <si>
    <t xml:space="preserve">[kg/kg] Mass of NOx emissions from coal blasting per unit of coal produced </t>
  </si>
  <si>
    <t xml:space="preserve">[kg/kg] Mass of NOx emissions from overburden blasting per unit of coal produced </t>
  </si>
  <si>
    <t xml:space="preserve">[kg/kg] Mass of NOx emissions per unit of coal produced </t>
  </si>
  <si>
    <t>Nitrogen oxides [Organic emissions to air (group VOC)]</t>
  </si>
  <si>
    <t>ENVIRONMENTAL ASSESSMENT FOR SPRING CREEK COAL LEASE MODIFICATION MTM-069782 and Amendment to Land Use Lease MTM-74913 EA# MT-DOI-BLM-MT-020-2010-29</t>
  </si>
  <si>
    <t>BLM</t>
  </si>
  <si>
    <t>Montana Department of Environmental Quality; DOI OSM, Western Regional Coordinating Center</t>
  </si>
  <si>
    <t>April</t>
  </si>
  <si>
    <t>http://www.blm.gov/style/medialib/blm/mt/field_offices/miles_city.Par.15531.File.tmp/springcreekEA.pdf</t>
  </si>
  <si>
    <t>6/4/15</t>
  </si>
  <si>
    <t>Indonesian stripping ratios</t>
  </si>
  <si>
    <t>NOx emissions</t>
  </si>
  <si>
    <t>SR_Scaler</t>
  </si>
  <si>
    <t>[dimensionless] Ratio of overburden removal to coal extracted for reference mine</t>
  </si>
  <si>
    <t>Strip_Ratio_Ref</t>
  </si>
  <si>
    <t>Strip_Ratio_UI</t>
  </si>
  <si>
    <t>Strip_Ratio_UI/Strip_Ratio_Ref</t>
  </si>
  <si>
    <t>[dimensionless] Ratio of overburden removal to coal extracted for modeled mine</t>
  </si>
  <si>
    <t>[dimensionless] Ratio of strip ratios used to scale inputs and outputs</t>
  </si>
  <si>
    <t>(PM25_blast_OB+PM25_doze_OB+PM25_drag_OB+PM25_grade_OB+PM25_blast_C+PM25_load_C+PM25_doze_C+PM25_storage_C)*SR_Scaler</t>
  </si>
  <si>
    <t>(PM10_blast_OB+PM10_doze_OB+PM10_drag_OB+PM10_grade_OB+PM10_blast_C+PM10_load_C+PM10_doze_C+PM10_storage_C)*SR_Scaler</t>
  </si>
  <si>
    <t>(NOx_coal+NOx_total)*SR_Scaler</t>
  </si>
  <si>
    <t>VOC_Scale</t>
  </si>
  <si>
    <t>Elec_Scale</t>
  </si>
  <si>
    <t>Diesel_Scale</t>
  </si>
  <si>
    <t>NH3NO3_Scale</t>
  </si>
  <si>
    <t>FO_Scale</t>
  </si>
  <si>
    <t>MWh/kg</t>
  </si>
  <si>
    <t>[MWh/kg] Amount of electricity input per unit of coal produced</t>
  </si>
  <si>
    <t>VOC_Ref</t>
  </si>
  <si>
    <t>Elec_Ref</t>
  </si>
  <si>
    <t>Diesel_Ref</t>
  </si>
  <si>
    <t>NH3NO3_Ref</t>
  </si>
  <si>
    <t>FO_Ref</t>
  </si>
  <si>
    <t>VOC_Ref*SR_Scaler</t>
  </si>
  <si>
    <t>NH3NO3_Ref*SR_Scaler</t>
  </si>
  <si>
    <t>FO_Ref*SR_Scaler</t>
  </si>
  <si>
    <t>[kg/kg] Mass of VOC emissions per unit of coal produced for reference mine</t>
  </si>
  <si>
    <t>[MWh/kg] Amount of electricity input per unit of coal produced for reference mine</t>
  </si>
  <si>
    <t>[kg/kg] Amount of diesel energy input per unit of coal produced for reference mine</t>
  </si>
  <si>
    <t>[kg/kg] Mass of ammonium nitrate per unit of coal produced for reference mine</t>
  </si>
  <si>
    <t>[kg/kg] Mass of light fuel oil per unit of coal produced for reference mine</t>
  </si>
  <si>
    <t>[dimensionless] Scaler to adjust diesel consumption to account for manual operations at Indonesian mine</t>
  </si>
  <si>
    <t>[dimensionless] Switch to turn electricity on/off depending on mining country (0 = no elec; 1 = elec)</t>
  </si>
  <si>
    <t>Elec_Switch</t>
  </si>
  <si>
    <t>Elec_Ref*SR_Scaler*Elec_Switch</t>
  </si>
  <si>
    <t>Dies_Eff_Scaler</t>
  </si>
  <si>
    <t>Diesel_Ref*SR_Scaler*Dies_Eff_Scaler</t>
  </si>
  <si>
    <t>This unit process provides a summary of relevant input and output flows associated with the extraction of coal from a surface mine. This includes the amount of electricity and fuel required to power equipment and the direct particulate matter (PM) and volatile organic compound (VOC) emissions from operating equipment and using explosives. Combustion emissions are not included in this unit process. The reference flow of this unit process is: 1 kg of Coal</t>
  </si>
  <si>
    <t>This sheet calculates the masses of ammonium nitrate and fuel oil that make up explosives used at coal mines.</t>
  </si>
  <si>
    <t>Strip Ratio</t>
  </si>
  <si>
    <t>PS</t>
  </si>
  <si>
    <t>Calculations:  Regional surface mining stripping ratios</t>
  </si>
  <si>
    <t>Associated Activity</t>
  </si>
  <si>
    <t>Rear Dump Trucks -- OB and Coal</t>
  </si>
  <si>
    <t>Bulldozer -- OB and Reclamation</t>
  </si>
  <si>
    <t>Cable Shovels -- OB and Coal</t>
  </si>
  <si>
    <t>Pick-up Trucks -- OB, Coal, and Reclamation</t>
  </si>
  <si>
    <t>Rotary Drills -- OB and Coal</t>
  </si>
  <si>
    <t>Water Tankers -- OB and Coal</t>
  </si>
  <si>
    <t>Pumps -- OB, Coal, and Reclamation</t>
  </si>
  <si>
    <t>Service Trucks -- OB, Coal, and Reclamation</t>
  </si>
  <si>
    <t>Bulk Trucks -- OB and Coal</t>
  </si>
  <si>
    <t>Graders -- OB and Coal</t>
  </si>
  <si>
    <t>Darryl Maunder</t>
  </si>
  <si>
    <t>6/19/15</t>
  </si>
  <si>
    <t>Cloud Peak Energy</t>
  </si>
  <si>
    <t>Process step association for different mining equipment</t>
  </si>
  <si>
    <t>http://www.epa.gov/ttnchie1/ap42/</t>
  </si>
  <si>
    <t>AP 42, Fifth Edition, Volume I, Appendix A: Miscellaneous Data &amp; Conversion Factors</t>
  </si>
  <si>
    <t>1985</t>
  </si>
  <si>
    <t>September 1985</t>
  </si>
  <si>
    <t>Coal density</t>
  </si>
  <si>
    <t>Dragline energy requirement</t>
  </si>
  <si>
    <t>Rear dump trucks energy requirement</t>
  </si>
  <si>
    <t>bulldozer energy requirement</t>
  </si>
  <si>
    <t>Pick-up trucks energy requirement</t>
  </si>
  <si>
    <t>OB + Coal</t>
  </si>
  <si>
    <t>OB</t>
  </si>
  <si>
    <t>VOCs (Coal)</t>
  </si>
  <si>
    <t>VOCs (OB)</t>
  </si>
  <si>
    <t>OB + Reclamation</t>
  </si>
  <si>
    <t>OB + Coal + Reclamation</t>
  </si>
  <si>
    <t>Service trucks energy requirement</t>
  </si>
  <si>
    <t>Bulk Trucks energy requirement</t>
  </si>
  <si>
    <t>Reclamation</t>
  </si>
  <si>
    <t>sum check</t>
  </si>
  <si>
    <t>1,18</t>
  </si>
  <si>
    <t>Overburden (OB)</t>
  </si>
  <si>
    <t xml:space="preserve">coal  </t>
  </si>
  <si>
    <t>overburden</t>
  </si>
  <si>
    <t>coal</t>
  </si>
  <si>
    <t>PM2.5 -- Western Surface Coal Mine</t>
  </si>
  <si>
    <t>Nox</t>
  </si>
  <si>
    <t>NOx*SR_Scaler</t>
  </si>
  <si>
    <t>Estimates of Electricity Requirements for the Recovery of Mineral Commodities, with Examples Applied to Sub-Saharan Africa</t>
  </si>
  <si>
    <t>USGS</t>
  </si>
  <si>
    <t>http://pubs.usgs.gov/of/2011/1253/report/OF11-1253.pdf</t>
  </si>
  <si>
    <t>PM25</t>
  </si>
  <si>
    <t>PM25*SR_Scaler</t>
  </si>
  <si>
    <t>OB_switch</t>
  </si>
  <si>
    <t>18,20</t>
  </si>
  <si>
    <t>total values include energy from reclamation activities and reclamation has the same portion of impact as coal removal</t>
  </si>
  <si>
    <t>[kg/kg] Mass of total PM2.5 emissions per unit of coal produced for reference mine</t>
  </si>
  <si>
    <t>IEA. (2014). Coal Medium-Term Market Report 2014: Market Analysis and Forcasts to 2019.</t>
  </si>
  <si>
    <t>Coal Medium-Term Market Report 2014: Market Analysis and Forcasts to 2019</t>
  </si>
  <si>
    <t xml:space="preserve">IEA  </t>
  </si>
  <si>
    <t>15,17,21</t>
  </si>
  <si>
    <t>Portion of emissions from overburden (OB) removal in a reference mine (Western U.S. mine)</t>
  </si>
  <si>
    <t>Portion of emissions from coal extraction in a reference mine (Western U.S. mine)</t>
  </si>
  <si>
    <t>Portion of emissions from mine reclamation in a reference mine (Western U.S. mine)</t>
  </si>
  <si>
    <t>OB_Switch</t>
  </si>
  <si>
    <t>[dimensionless] Indicator if selected scenario is overburden removal</t>
  </si>
  <si>
    <t>[dimensionless] Switch to turn strip ratio scalar on/off depending on activity type (0 = coal extraction or reclamation; 1 = OB removal)</t>
  </si>
  <si>
    <t>kWh/tonne</t>
  </si>
  <si>
    <t>Ext_switch</t>
  </si>
  <si>
    <t>Ext_Switch</t>
  </si>
  <si>
    <t>[dimensionless] Indicator if selected scenario is coal extraction</t>
  </si>
  <si>
    <t>[dimensionless] Switch to indicate if scenario is set to coal extraction (1 = yes; 0 = no); utilized for coal mine methane.</t>
  </si>
  <si>
    <t>for reclamation</t>
  </si>
  <si>
    <t>subject matter expert indicates that bulldozing is used for reclamation, so reclamation emissions are added using the same formula for coal bulldozing</t>
  </si>
  <si>
    <t>Assumption [13]</t>
  </si>
  <si>
    <t>Reference [18]</t>
  </si>
  <si>
    <t>Production</t>
  </si>
  <si>
    <t>mmtpy coal</t>
  </si>
  <si>
    <t>Reference [16] p. 1-5</t>
  </si>
  <si>
    <t>tons coal/yr</t>
  </si>
  <si>
    <t>Activity applies to all three stages of surface coal mining</t>
  </si>
  <si>
    <t>coal + overburden + reclamation</t>
  </si>
  <si>
    <t>IF(OB_Switch=1;Strip_Ratio_UI/Strip_Ratio_Ref;1)</t>
  </si>
  <si>
    <t>Calculations:  Parameter scenarios for stages of mining</t>
  </si>
  <si>
    <t>Calculations:  Data from PM worksheet split into stages of mining</t>
  </si>
  <si>
    <t>Calculations:  Data from Energy worksheet split into stages of mining</t>
  </si>
  <si>
    <t>Calculations:  Explosives use inputs</t>
  </si>
  <si>
    <t>Calculations:  Nox emissions from explosives use</t>
  </si>
  <si>
    <t>Reference not used</t>
  </si>
  <si>
    <t>Total PM2.5</t>
  </si>
  <si>
    <t>1,18,20</t>
  </si>
  <si>
    <t>1,5</t>
  </si>
  <si>
    <t>1,2,3</t>
  </si>
  <si>
    <t>7,10,13,18</t>
  </si>
  <si>
    <t>g/gal</t>
  </si>
  <si>
    <t>btu/gal</t>
  </si>
  <si>
    <t>GREET Software: GREET1 Model</t>
  </si>
  <si>
    <t>Michael Wang</t>
  </si>
  <si>
    <t>Argonne National Laboratory</t>
  </si>
  <si>
    <t>Fuel_Specs</t>
  </si>
  <si>
    <t>Argonne National Laboratory.  2014.  GREET Software: GREET1 Model</t>
  </si>
  <si>
    <t>Non-road diesel density and HHV</t>
  </si>
  <si>
    <t>diesel density not found. Reference 22 used instead</t>
  </si>
  <si>
    <t>Energy Calculations</t>
  </si>
  <si>
    <t xml:space="preserve">  </t>
  </si>
  <si>
    <t>PM Split</t>
  </si>
  <si>
    <t>Energy Split</t>
  </si>
  <si>
    <t>Surface Coal Mining – Overburden Removal, Extraction, and Reclamation</t>
  </si>
  <si>
    <t>Dust (PM2.5 - PM10) [Particles to air]</t>
  </si>
  <si>
    <t>PM_25to10_unmit</t>
  </si>
  <si>
    <t>[kg/kg] Mass of unmitigated PM2.5 to PM10 emissions per unit of coal produced</t>
  </si>
  <si>
    <t>Total PM2.5 to PM10</t>
  </si>
  <si>
    <t>PM_25to10</t>
  </si>
  <si>
    <t>PM_25to10_total</t>
  </si>
  <si>
    <t>[kg/kg] Mass of total PM2.5 to PM10 emissions per unit of coal produced for reference mine</t>
  </si>
  <si>
    <t>[kg/kg] Mass of total PM2.5 to PM10 emissions per unit of coal produced</t>
  </si>
  <si>
    <t>7,8,9,10,13,18</t>
  </si>
  <si>
    <t>PM_25to10*SR_Scaler</t>
  </si>
  <si>
    <t>PM_25to10_total*(1-percent_mit)</t>
  </si>
  <si>
    <t>PM2.5 to PM10 ratios</t>
  </si>
  <si>
    <t>Truck travel</t>
  </si>
  <si>
    <t>unitless</t>
  </si>
  <si>
    <t>Reference [13] Table 13.2.2-2</t>
  </si>
  <si>
    <t>Wind Erosion</t>
  </si>
  <si>
    <t>OB truck travel</t>
  </si>
  <si>
    <t>Coal truck travel</t>
  </si>
  <si>
    <t>Water truck travel</t>
  </si>
  <si>
    <t>Vehical travel on paved access road</t>
  </si>
  <si>
    <t>Wind erosion of open acres</t>
  </si>
  <si>
    <t>Spring Creek Mine (PM10  raw data)</t>
  </si>
  <si>
    <t>Spring Creek Mine (PM2.5 calculated)</t>
  </si>
  <si>
    <t>Spring Creek Mine (PM2.5 to PM10 claculated)</t>
  </si>
  <si>
    <t>PM2.5 to PM10 -- Western Surface Coal Mine</t>
  </si>
  <si>
    <t>kg PM2.5 to PM10/kg coal</t>
  </si>
  <si>
    <t>coal + overburden +reclamation</t>
  </si>
  <si>
    <t>Assumption [14]</t>
  </si>
  <si>
    <t>Reference [16] Table 3-6</t>
  </si>
  <si>
    <t>Reference [16] Table 3-6; Reference [18]</t>
  </si>
  <si>
    <t xml:space="preserve">Background Document for Revisions to Fine Fraction Ratios Used for AP-42 Fugitive Dust Emission Factors </t>
  </si>
  <si>
    <t>Table 1</t>
  </si>
  <si>
    <t>Ratio of PM2.5/PM10 for industrial wind erosion</t>
  </si>
  <si>
    <t>http://www.epa.gov/ttn/chief/ap42/ch13/bgdocs/b13s02.pdf</t>
  </si>
  <si>
    <t>Reference [23] Table 1</t>
  </si>
  <si>
    <t>kg PM2.5-10/kg coal</t>
  </si>
  <si>
    <t>US EPA. 2006. AP 42, Fifth Edition, Volume I, Chapter 13: Miscellaneous Sources. U.S. Environmental Protection Agency. http://www.epa.gov/ttn/chief/ap42/ch13/bgdocs/b13s02.pdf (Accessed July 29, 2015).</t>
  </si>
  <si>
    <t>US EPA. 2006. AP 42, Fifth Edition, Volume I, Chapter 13: Miscellaneous Sources. U.S. Environmental Protection Agency. http://www.epa.gov/ttn/chief/ap42/ch13/final/c13s0204.pdf (Accessed January 23, 2015).</t>
  </si>
  <si>
    <t>This unit process is composed of this document and the file, DF_Stage1_O_Surface_Coal_Mining_2013.02.docx, which provides additional details regarding calculations, data quality, and references as relevant.</t>
  </si>
  <si>
    <t>Email Communication</t>
  </si>
  <si>
    <t>EPA Tier IV Requirements and Equipment Engine Size</t>
  </si>
  <si>
    <t>Ken Miller</t>
  </si>
  <si>
    <t>Ken advises that equipment that uses engines less than 750 horse power include dozers, motor graders, water trucks, scrapers, and support equipment. Equipment that uses engines greater than 750 horse power include haul trucks.</t>
  </si>
  <si>
    <t>Miller, K. (2015, 9/10/15). [EPA Tier IV Requirements and Equipment Engine Size].</t>
  </si>
  <si>
    <t>Notes 2</t>
  </si>
  <si>
    <t>Uses an engine &gt; 750 hp</t>
  </si>
  <si>
    <t>Uses an engine &lt; 750 hp</t>
  </si>
  <si>
    <t>Portion of diesel fuel from engines &gt; 750 hp</t>
  </si>
  <si>
    <t>Portion of diesel fuel from engines &lt; 750 hp</t>
  </si>
  <si>
    <t>[kg/kg] Amount of diesel energy input per unit of coal produced for reference mine; equipment with engines &gt; 750 horsepower</t>
  </si>
  <si>
    <t>[kg/kg] Amount of diesel energy input per unit of coal produced for reference mine; equipment with engines &lt; 750 horsepower</t>
  </si>
  <si>
    <t>[kg/kg] Amount of diesel energy input per unit of coal produced; equipment with engines &gt; 750 horsepower</t>
  </si>
  <si>
    <t>[kg/kg] Amount of diesel energy input per unit of coal produced; equipment with engines &lt; 750 horsepower</t>
  </si>
  <si>
    <t>[Technosphere] Amount of diesel required for equipment used in blasting coal from a surface mine; equipment with engines &gt; 750 horsepower</t>
  </si>
  <si>
    <t>[Technosphere] Amount of diesel required for equipment used in blasting coal from a surface mine; equipment with engines &lt; 750 horsepower</t>
  </si>
  <si>
    <t>D_Scal_great750</t>
  </si>
  <si>
    <t>D_Ref_great750</t>
  </si>
  <si>
    <t>D_Ref_less750</t>
  </si>
  <si>
    <t>D_Scal_less750</t>
  </si>
  <si>
    <t>D_Scal_total</t>
  </si>
  <si>
    <t>[kg/kg] Amount of diesel energy input per unit of coal produced; all equipment</t>
  </si>
  <si>
    <t>[Technosphere] Amount of diesel required for equipment used in blasting coal from a surface mine; all equipment</t>
  </si>
  <si>
    <t>Per Ken Miller from Wyoming Infrastructure Authority, haul trucks use a larger engine of greater than 750 hp, while other equipment use an engine less than 750 hp (reference 24). Haul trucks are a type of dump truck. Engine size may affect diesel combustion results (See diesel combustion UP for Tier IV compliance scenario).</t>
  </si>
  <si>
    <t>7,15</t>
  </si>
  <si>
    <t>TierIV_Switch</t>
  </si>
  <si>
    <t>[dimensionless] Switch to turn on or off TierIV Requirements (0 = off; 1 = on)</t>
  </si>
  <si>
    <t>Diesel Combustion, Reciprocating, Industrial, Uncontrolled [Refinery products]</t>
  </si>
  <si>
    <t>D_Ref_great750*SR_Scaler*Dies_Eff_Scaler*TierIV_Switch</t>
  </si>
  <si>
    <t>D_Ref_less750*SR_Scaler*Dies_Eff_Scaler*TierIV_Switch</t>
  </si>
  <si>
    <t>(D_Ref_less750+D_Ref_great750)*SR_Scaler*Dies_Eff_Scaler*(1-TierIV_Switch)</t>
  </si>
  <si>
    <t>Diesel Combustion, Non-Road Engine, &gt; 750 hp, EPA Tier IV Compliance [Refinery products]</t>
  </si>
  <si>
    <t>Diesel Combustion, Non-Road Engine, 175 ≤ hp ≤ 750, EPA Tier IV Compliance [Refinery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</si>
</sst>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8" formatCode="&quot;$&quot;#,##0.00_);[Red]\(&quot;$&quot;#,##0.00\)"/>
    <numFmt numFmtId="41" formatCode="_(* #,##0_);_(* \(#,##0\);_(* &quot;-&quot;_);_(@_)"/>
    <numFmt numFmtId="43" formatCode="_(* #,##0.00_);_(* \(#,##0.00\);_(* &quot;-&quot;??_);_(@_)"/>
    <numFmt numFmtId="164" formatCode="m/d/yy\ h:mm"/>
    <numFmt numFmtId="165" formatCode="_ [$€-2]\ * #,##0.00_ ;_ [$€-2]\ * \-#,##0.00_ ;_ [$€-2]\ * &quot;-&quot;??_ "/>
    <numFmt numFmtId="166" formatCode="mmm\ dd\,\ yyyy"/>
    <numFmt numFmtId="167" formatCode="mmm\-yyyy"/>
    <numFmt numFmtId="168" formatCode="yyyy"/>
    <numFmt numFmtId="169" formatCode="[=0]&quot;&quot;;General"/>
    <numFmt numFmtId="170" formatCode="0.00E+0;[=0]&quot;-&quot;;0.00E+0"/>
    <numFmt numFmtId="171" formatCode="0.000"/>
    <numFmt numFmtId="172" formatCode="0.000000"/>
    <numFmt numFmtId="173" formatCode="0.00000"/>
    <numFmt numFmtId="174" formatCode="0.0%"/>
    <numFmt numFmtId="175" formatCode="0.000000E+00"/>
    <numFmt numFmtId="176" formatCode="0.0"/>
    <numFmt numFmtId="177" formatCode="0.00000E+00"/>
    <numFmt numFmtId="178" formatCode="0.000E+00"/>
    <numFmt numFmtId="179" formatCode="0.0000"/>
    <numFmt numFmtId="180" formatCode="[$-409]m/d/yy\ h:mm\ AM/PM;@"/>
    <numFmt numFmtId="181" formatCode="0.0000E+00"/>
    <numFmt numFmtId="182" formatCode="0.0E+00"/>
  </numFmts>
  <fonts count="61" x14ac:knownFonts="1">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9"/>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name val="Arial"/>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b/>
      <sz val="16"/>
      <color indexed="18"/>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0"/>
      <color indexed="12"/>
      <name val="Arial"/>
      <family val="2"/>
    </font>
    <font>
      <u/>
      <sz val="10"/>
      <color indexed="12"/>
      <name val="Arial"/>
      <family val="2"/>
    </font>
    <font>
      <u/>
      <sz val="9.35"/>
      <color theme="10"/>
      <name val="Calibri"/>
      <family val="2"/>
    </font>
    <font>
      <b/>
      <sz val="10"/>
      <color theme="1"/>
      <name val="Arial"/>
      <family val="2"/>
    </font>
    <font>
      <b/>
      <u/>
      <sz val="14"/>
      <name val="Arial"/>
      <family val="2"/>
    </font>
    <font>
      <b/>
      <i/>
      <u/>
      <sz val="10"/>
      <name val="Arial"/>
      <family val="2"/>
    </font>
    <font>
      <i/>
      <sz val="9"/>
      <name val="Arial"/>
      <family val="2"/>
    </font>
    <font>
      <b/>
      <sz val="12"/>
      <name val="Times New Roman"/>
      <family val="1"/>
    </font>
    <font>
      <sz val="12"/>
      <name val="Times New Roman"/>
      <family val="1"/>
    </font>
    <font>
      <i/>
      <sz val="10"/>
      <color rgb="FFFF0000"/>
      <name val="Arial"/>
      <family val="2"/>
    </font>
    <font>
      <u/>
      <sz val="10"/>
      <name val="Arial"/>
      <family val="2"/>
    </font>
    <font>
      <b/>
      <sz val="14"/>
      <name val="Arial"/>
      <family val="2"/>
    </font>
    <font>
      <b/>
      <sz val="11"/>
      <color theme="1"/>
      <name val="Calibri"/>
      <family val="2"/>
      <scheme val="minor"/>
    </font>
    <font>
      <b/>
      <sz val="10"/>
      <color theme="3"/>
      <name val="Arial"/>
      <family val="2"/>
    </font>
    <font>
      <b/>
      <i/>
      <sz val="10"/>
      <color theme="1"/>
      <name val="Arial"/>
      <family val="2"/>
    </font>
    <font>
      <sz val="11"/>
      <color rgb="FF3F3F76"/>
      <name val="Calibri"/>
      <family val="2"/>
      <scheme val="minor"/>
    </font>
    <font>
      <sz val="10"/>
      <name val="Arial"/>
      <family val="2"/>
    </font>
    <font>
      <b/>
      <sz val="11"/>
      <color theme="3"/>
      <name val="Calibri"/>
      <family val="2"/>
      <scheme val="minor"/>
    </font>
    <font>
      <b/>
      <i/>
      <sz val="11"/>
      <color theme="1"/>
      <name val="Calibri"/>
      <family val="2"/>
      <scheme val="minor"/>
    </font>
    <font>
      <b/>
      <sz val="14"/>
      <color theme="1"/>
      <name val="Calibri"/>
      <family val="2"/>
      <scheme val="minor"/>
    </font>
    <font>
      <b/>
      <i/>
      <sz val="12"/>
      <color theme="1"/>
      <name val="Arial"/>
      <family val="2"/>
    </font>
    <font>
      <b/>
      <sz val="14"/>
      <color theme="1"/>
      <name val="Arial"/>
      <family val="2"/>
    </font>
    <font>
      <sz val="11"/>
      <name val="Calibri"/>
      <family val="2"/>
      <scheme val="minor"/>
    </font>
    <font>
      <b/>
      <sz val="11"/>
      <color theme="1"/>
      <name val="Calibri"/>
      <family val="2"/>
      <scheme val="minor"/>
    </font>
    <font>
      <b/>
      <sz val="16"/>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rgb="FFFFCC99"/>
      </patternFill>
    </fill>
    <fill>
      <patternFill patternType="solid">
        <fgColor rgb="FF99C2FF"/>
        <bgColor indexed="64"/>
      </patternFill>
    </fill>
    <fill>
      <patternFill patternType="solid">
        <fgColor theme="0" tint="-0.34998626667073579"/>
        <bgColor indexed="64"/>
      </patternFill>
    </fill>
    <fill>
      <patternFill patternType="solid">
        <fgColor rgb="FFFFC0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rgb="FF7F7F7F"/>
      </left>
      <right style="thin">
        <color rgb="FF7F7F7F"/>
      </right>
      <top style="thin">
        <color rgb="FF7F7F7F"/>
      </top>
      <bottom style="thin">
        <color rgb="FF7F7F7F"/>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00">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2" applyNumberFormat="0" applyAlignment="0" applyProtection="0"/>
    <xf numFmtId="0" fontId="5" fillId="21" borderId="3" applyNumberFormat="0" applyAlignment="0" applyProtection="0"/>
    <xf numFmtId="43" fontId="6" fillId="0" borderId="0" applyFont="0" applyFill="0" applyBorder="0" applyAlignment="0" applyProtection="0"/>
    <xf numFmtId="164" fontId="6" fillId="0" borderId="0" applyFont="0" applyFill="0" applyBorder="0" applyAlignment="0" applyProtection="0">
      <alignment wrapText="1"/>
    </xf>
    <xf numFmtId="165" fontId="7" fillId="0" borderId="0" applyFont="0" applyFill="0" applyBorder="0" applyAlignment="0" applyProtection="0">
      <alignment vertical="center"/>
    </xf>
    <xf numFmtId="0" fontId="8" fillId="0" borderId="0" applyNumberFormat="0" applyFill="0" applyBorder="0" applyAlignment="0" applyProtection="0"/>
    <xf numFmtId="0" fontId="9" fillId="4" borderId="0" applyNumberFormat="0" applyBorder="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3" fillId="7" borderId="2" applyNumberFormat="0" applyAlignment="0" applyProtection="0"/>
    <xf numFmtId="0" fontId="14" fillId="0" borderId="7" applyNumberFormat="0" applyFill="0" applyAlignment="0" applyProtection="0"/>
    <xf numFmtId="0" fontId="15" fillId="22" borderId="0" applyNumberFormat="0" applyBorder="0" applyAlignment="0" applyProtection="0"/>
    <xf numFmtId="0" fontId="6" fillId="0" borderId="0"/>
    <xf numFmtId="0" fontId="6" fillId="23" borderId="8" applyNumberFormat="0" applyFont="0" applyAlignment="0" applyProtection="0"/>
    <xf numFmtId="0" fontId="16" fillId="20" borderId="9"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17" fillId="24" borderId="10" applyNumberFormat="0" applyProtection="0">
      <alignment horizontal="center" wrapText="1"/>
    </xf>
    <xf numFmtId="0" fontId="17" fillId="24" borderId="11" applyNumberFormat="0" applyAlignment="0" applyProtection="0">
      <alignment wrapText="1"/>
    </xf>
    <xf numFmtId="0" fontId="6" fillId="25" borderId="0" applyNumberFormat="0" applyBorder="0">
      <alignment horizontal="center" wrapText="1"/>
    </xf>
    <xf numFmtId="0" fontId="6" fillId="26" borderId="12" applyNumberFormat="0">
      <alignment wrapText="1"/>
    </xf>
    <xf numFmtId="0" fontId="6" fillId="26" borderId="0" applyNumberFormat="0" applyBorder="0">
      <alignment wrapText="1"/>
    </xf>
    <xf numFmtId="0" fontId="6" fillId="0" borderId="0" applyNumberFormat="0" applyFill="0" applyBorder="0" applyProtection="0">
      <alignment horizontal="right" wrapText="1"/>
    </xf>
    <xf numFmtId="166" fontId="6" fillId="0" borderId="0" applyFill="0" applyBorder="0" applyAlignment="0" applyProtection="0">
      <alignment wrapText="1"/>
    </xf>
    <xf numFmtId="167" fontId="6" fillId="0" borderId="0" applyFill="0" applyBorder="0" applyAlignment="0" applyProtection="0">
      <alignment wrapText="1"/>
    </xf>
    <xf numFmtId="168" fontId="6" fillId="0" borderId="0" applyFill="0" applyBorder="0" applyAlignment="0" applyProtection="0">
      <alignment wrapText="1"/>
    </xf>
    <xf numFmtId="0" fontId="6" fillId="0" borderId="0" applyNumberFormat="0" applyFill="0" applyBorder="0" applyProtection="0">
      <alignment horizontal="right" wrapText="1"/>
    </xf>
    <xf numFmtId="0" fontId="6" fillId="0" borderId="0" applyNumberFormat="0" applyFill="0" applyBorder="0">
      <alignment horizontal="right" wrapText="1"/>
    </xf>
    <xf numFmtId="17" fontId="6" fillId="0" borderId="0" applyFill="0" applyBorder="0">
      <alignment horizontal="right" wrapText="1"/>
    </xf>
    <xf numFmtId="8" fontId="6" fillId="0" borderId="0" applyFill="0" applyBorder="0" applyAlignment="0" applyProtection="0">
      <alignment wrapText="1"/>
    </xf>
    <xf numFmtId="0" fontId="18" fillId="0" borderId="0" applyNumberFormat="0" applyFill="0" applyBorder="0">
      <alignment horizontal="left" wrapText="1"/>
    </xf>
    <xf numFmtId="0" fontId="17" fillId="0" borderId="0" applyNumberFormat="0" applyFill="0" applyBorder="0">
      <alignment horizontal="center" wrapText="1"/>
    </xf>
    <xf numFmtId="0" fontId="17" fillId="0" borderId="0" applyNumberFormat="0" applyFill="0" applyBorder="0">
      <alignment horizontal="center" wrapText="1"/>
    </xf>
    <xf numFmtId="169" fontId="19" fillId="0" borderId="0">
      <alignment horizontal="center" vertical="center"/>
    </xf>
    <xf numFmtId="0" fontId="20" fillId="0" borderId="0" applyNumberFormat="0" applyFill="0" applyBorder="0" applyAlignment="0" applyProtection="0"/>
    <xf numFmtId="0" fontId="21" fillId="0" borderId="13" applyNumberFormat="0" applyFill="0" applyAlignment="0" applyProtection="0"/>
    <xf numFmtId="0" fontId="22" fillId="0" borderId="0" applyNumberFormat="0" applyFill="0" applyBorder="0" applyAlignment="0" applyProtection="0"/>
    <xf numFmtId="170" fontId="6" fillId="0" borderId="0">
      <alignment horizontal="center" vertical="center"/>
    </xf>
    <xf numFmtId="43" fontId="23" fillId="0" borderId="0" applyFont="0" applyFill="0" applyBorder="0" applyAlignment="0" applyProtection="0"/>
    <xf numFmtId="0" fontId="37" fillId="0" borderId="0" applyNumberFormat="0" applyFill="0" applyBorder="0" applyAlignment="0" applyProtection="0">
      <alignment vertical="top"/>
      <protection locked="0"/>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164" fontId="6" fillId="0" borderId="0" applyFont="0" applyFill="0" applyBorder="0" applyAlignment="0" applyProtection="0">
      <alignment wrapText="1"/>
    </xf>
    <xf numFmtId="0" fontId="38" fillId="0" borderId="0" applyNumberFormat="0" applyFill="0" applyBorder="0" applyAlignment="0" applyProtection="0">
      <alignment vertical="top"/>
      <protection locked="0"/>
    </xf>
    <xf numFmtId="0" fontId="6" fillId="0" borderId="0"/>
    <xf numFmtId="0" fontId="6" fillId="23" borderId="8" applyNumberFormat="0" applyFont="0" applyAlignment="0" applyProtection="0"/>
    <xf numFmtId="9" fontId="6" fillId="0" borderId="0" applyFont="0" applyFill="0" applyBorder="0" applyAlignment="0" applyProtection="0"/>
    <xf numFmtId="0" fontId="6" fillId="25" borderId="0" applyNumberFormat="0" applyBorder="0">
      <alignment horizontal="center" wrapText="1"/>
    </xf>
    <xf numFmtId="0" fontId="6" fillId="26" borderId="12" applyNumberFormat="0">
      <alignment wrapText="1"/>
    </xf>
    <xf numFmtId="0" fontId="6" fillId="26" borderId="0" applyNumberFormat="0" applyBorder="0">
      <alignment wrapText="1"/>
    </xf>
    <xf numFmtId="0" fontId="6" fillId="0" borderId="0" applyNumberFormat="0" applyFill="0" applyBorder="0" applyProtection="0">
      <alignment horizontal="right" wrapText="1"/>
    </xf>
    <xf numFmtId="166" fontId="6" fillId="0" borderId="0" applyFill="0" applyBorder="0" applyAlignment="0" applyProtection="0">
      <alignment wrapText="1"/>
    </xf>
    <xf numFmtId="167" fontId="6" fillId="0" borderId="0" applyFill="0" applyBorder="0" applyAlignment="0" applyProtection="0">
      <alignment wrapText="1"/>
    </xf>
    <xf numFmtId="168" fontId="6" fillId="0" borderId="0" applyFill="0" applyBorder="0" applyAlignment="0" applyProtection="0">
      <alignment wrapText="1"/>
    </xf>
    <xf numFmtId="0" fontId="6" fillId="0" borderId="0" applyNumberFormat="0" applyFill="0" applyBorder="0" applyProtection="0">
      <alignment horizontal="right" wrapText="1"/>
    </xf>
    <xf numFmtId="0" fontId="6" fillId="0" borderId="0" applyNumberFormat="0" applyFill="0" applyBorder="0">
      <alignment horizontal="right" wrapText="1"/>
    </xf>
    <xf numFmtId="17" fontId="6" fillId="0" borderId="0" applyFill="0" applyBorder="0">
      <alignment horizontal="right" wrapText="1"/>
    </xf>
    <xf numFmtId="8" fontId="6" fillId="0" borderId="0" applyFill="0" applyBorder="0" applyAlignment="0" applyProtection="0">
      <alignment wrapText="1"/>
    </xf>
    <xf numFmtId="170" fontId="6" fillId="0" borderId="0">
      <alignment horizontal="center" vertical="center"/>
    </xf>
    <xf numFmtId="0" fontId="51" fillId="40" borderId="43" applyNumberFormat="0" applyAlignment="0" applyProtection="0"/>
    <xf numFmtId="0" fontId="52" fillId="0" borderId="0"/>
  </cellStyleXfs>
  <cellXfs count="592">
    <xf numFmtId="0" fontId="0" fillId="0" borderId="0" xfId="0"/>
    <xf numFmtId="0" fontId="24" fillId="27" borderId="0" xfId="40" applyFont="1" applyFill="1" applyAlignment="1"/>
    <xf numFmtId="0" fontId="6" fillId="27" borderId="0" xfId="40" applyFill="1"/>
    <xf numFmtId="0" fontId="6" fillId="0" borderId="0" xfId="40"/>
    <xf numFmtId="0" fontId="17" fillId="28" borderId="14" xfId="40" applyFont="1" applyFill="1" applyBorder="1" applyAlignment="1">
      <alignment horizontal="left" vertical="center"/>
    </xf>
    <xf numFmtId="0" fontId="17" fillId="28" borderId="16" xfId="40" applyFont="1" applyFill="1" applyBorder="1" applyAlignment="1">
      <alignment horizontal="left" vertical="center"/>
    </xf>
    <xf numFmtId="0" fontId="17" fillId="28" borderId="17" xfId="40" applyFont="1" applyFill="1" applyBorder="1" applyAlignment="1">
      <alignment horizontal="left" vertical="center"/>
    </xf>
    <xf numFmtId="0" fontId="17" fillId="28" borderId="14" xfId="40" applyFont="1" applyFill="1" applyBorder="1" applyAlignment="1">
      <alignment horizontal="left" vertical="center" wrapText="1"/>
    </xf>
    <xf numFmtId="0" fontId="17" fillId="27" borderId="0" xfId="40" applyFont="1" applyFill="1"/>
    <xf numFmtId="0" fontId="6" fillId="29" borderId="19" xfId="40" applyFont="1" applyFill="1" applyBorder="1" applyAlignment="1">
      <alignment horizontal="left" vertical="center"/>
    </xf>
    <xf numFmtId="0" fontId="6" fillId="0" borderId="0" xfId="40" applyFill="1"/>
    <xf numFmtId="0" fontId="6" fillId="29" borderId="22" xfId="40" applyFont="1" applyFill="1" applyBorder="1" applyAlignment="1">
      <alignment horizontal="left" vertical="center"/>
    </xf>
    <xf numFmtId="0" fontId="6" fillId="30" borderId="22" xfId="40" applyFont="1" applyFill="1" applyBorder="1" applyAlignment="1">
      <alignment horizontal="left" vertical="center"/>
    </xf>
    <xf numFmtId="0" fontId="6" fillId="27" borderId="0" xfId="40" applyFont="1" applyFill="1"/>
    <xf numFmtId="0" fontId="6" fillId="31" borderId="0" xfId="40" applyFont="1" applyFill="1"/>
    <xf numFmtId="0" fontId="6" fillId="31" borderId="0" xfId="40" applyFill="1"/>
    <xf numFmtId="0" fontId="6" fillId="0" borderId="28" xfId="40" applyBorder="1" applyAlignment="1" applyProtection="1">
      <protection locked="0"/>
    </xf>
    <xf numFmtId="0" fontId="6" fillId="0" borderId="29" xfId="40" applyBorder="1" applyProtection="1">
      <protection locked="0"/>
    </xf>
    <xf numFmtId="0" fontId="6" fillId="27" borderId="0" xfId="40" applyFill="1" applyAlignment="1">
      <alignment horizontal="center"/>
    </xf>
    <xf numFmtId="0" fontId="6" fillId="27" borderId="0" xfId="40" applyFill="1" applyAlignment="1">
      <alignment horizontal="right"/>
    </xf>
    <xf numFmtId="0" fontId="6" fillId="0" borderId="15" xfId="40" applyFill="1" applyBorder="1"/>
    <xf numFmtId="0" fontId="6" fillId="0" borderId="17" xfId="40" applyFill="1" applyBorder="1"/>
    <xf numFmtId="0" fontId="6" fillId="27" borderId="0" xfId="40" applyFill="1" applyBorder="1" applyAlignment="1">
      <alignment vertical="top" wrapText="1"/>
    </xf>
    <xf numFmtId="0" fontId="27" fillId="27" borderId="0" xfId="40" applyFont="1" applyFill="1"/>
    <xf numFmtId="0" fontId="27" fillId="0" borderId="0" xfId="40" applyFont="1"/>
    <xf numFmtId="0" fontId="29" fillId="33" borderId="30" xfId="40" applyFont="1" applyFill="1" applyBorder="1"/>
    <xf numFmtId="0" fontId="6" fillId="33" borderId="31" xfId="40" applyFill="1" applyBorder="1"/>
    <xf numFmtId="0" fontId="6" fillId="33" borderId="32" xfId="40" applyFill="1" applyBorder="1"/>
    <xf numFmtId="0" fontId="6" fillId="33" borderId="33" xfId="40" applyFill="1" applyBorder="1"/>
    <xf numFmtId="0" fontId="6" fillId="33" borderId="0" xfId="40" applyFill="1" applyBorder="1"/>
    <xf numFmtId="0" fontId="6" fillId="33" borderId="34" xfId="40" applyFill="1" applyBorder="1"/>
    <xf numFmtId="0" fontId="30" fillId="33" borderId="35" xfId="0" applyFont="1" applyFill="1" applyBorder="1"/>
    <xf numFmtId="0" fontId="6" fillId="33" borderId="22" xfId="40" applyFill="1" applyBorder="1"/>
    <xf numFmtId="0" fontId="6" fillId="33" borderId="36" xfId="40" applyFill="1" applyBorder="1"/>
    <xf numFmtId="0" fontId="26" fillId="27" borderId="0" xfId="40" applyFont="1" applyFill="1" applyAlignment="1">
      <alignment horizontal="center"/>
    </xf>
    <xf numFmtId="0" fontId="17" fillId="28" borderId="1" xfId="40" applyFont="1" applyFill="1" applyBorder="1" applyAlignment="1">
      <alignment horizontal="center"/>
    </xf>
    <xf numFmtId="0" fontId="6" fillId="0" borderId="1" xfId="40" applyFont="1" applyBorder="1" applyProtection="1">
      <protection locked="0"/>
    </xf>
    <xf numFmtId="0" fontId="33" fillId="0" borderId="1" xfId="0" applyFont="1" applyFill="1" applyBorder="1" applyAlignment="1">
      <alignment wrapText="1"/>
    </xf>
    <xf numFmtId="0" fontId="33" fillId="0" borderId="1" xfId="0" applyFont="1" applyBorder="1" applyProtection="1">
      <protection locked="0"/>
    </xf>
    <xf numFmtId="0" fontId="33" fillId="0" borderId="1" xfId="0" applyFont="1" applyFill="1" applyBorder="1" applyProtection="1">
      <protection locked="0"/>
    </xf>
    <xf numFmtId="0" fontId="33" fillId="0" borderId="1" xfId="0" applyFont="1" applyBorder="1" applyAlignment="1" applyProtection="1">
      <alignment horizontal="center"/>
      <protection locked="0"/>
    </xf>
    <xf numFmtId="0" fontId="17" fillId="34" borderId="1" xfId="40" applyFont="1" applyFill="1" applyBorder="1"/>
    <xf numFmtId="0" fontId="6" fillId="34" borderId="1" xfId="40" applyFill="1" applyBorder="1" applyAlignment="1">
      <alignment vertical="top"/>
    </xf>
    <xf numFmtId="0" fontId="6" fillId="34" borderId="1" xfId="40" applyFill="1" applyBorder="1"/>
    <xf numFmtId="0" fontId="6" fillId="34" borderId="1" xfId="40" applyFill="1" applyBorder="1" applyAlignment="1">
      <alignment horizontal="left"/>
    </xf>
    <xf numFmtId="0" fontId="6" fillId="34" borderId="1" xfId="40" applyFill="1" applyBorder="1" applyAlignment="1"/>
    <xf numFmtId="0" fontId="6" fillId="34" borderId="23" xfId="40" applyFill="1" applyBorder="1" applyAlignment="1"/>
    <xf numFmtId="0" fontId="6" fillId="34" borderId="28" xfId="40" applyFill="1" applyBorder="1" applyAlignment="1"/>
    <xf numFmtId="0" fontId="33" fillId="0" borderId="1" xfId="0" applyFont="1" applyFill="1" applyBorder="1" applyAlignment="1">
      <alignment horizontal="left" vertical="top" wrapText="1"/>
    </xf>
    <xf numFmtId="0" fontId="6" fillId="0" borderId="1" xfId="40" applyBorder="1" applyAlignment="1" applyProtection="1">
      <alignment vertical="top"/>
      <protection locked="0"/>
    </xf>
    <xf numFmtId="11" fontId="33" fillId="35" borderId="1" xfId="67" applyNumberFormat="1" applyFont="1" applyFill="1" applyBorder="1" applyAlignment="1" applyProtection="1">
      <alignment vertical="top"/>
      <protection hidden="1"/>
    </xf>
    <xf numFmtId="0" fontId="33" fillId="35" borderId="1" xfId="0" applyFont="1" applyFill="1" applyBorder="1" applyAlignment="1" applyProtection="1">
      <alignment vertical="top"/>
      <protection hidden="1"/>
    </xf>
    <xf numFmtId="0" fontId="6" fillId="0" borderId="1" xfId="40" applyBorder="1" applyAlignment="1" applyProtection="1">
      <alignment horizontal="center" vertical="top"/>
      <protection locked="0"/>
    </xf>
    <xf numFmtId="0" fontId="33" fillId="0" borderId="1" xfId="0" applyFont="1" applyFill="1" applyBorder="1"/>
    <xf numFmtId="0" fontId="17" fillId="34" borderId="1" xfId="40" applyFont="1" applyFill="1" applyBorder="1" applyAlignment="1">
      <alignment vertical="top"/>
    </xf>
    <xf numFmtId="0" fontId="6" fillId="34" borderId="1" xfId="40" applyFill="1" applyBorder="1" applyAlignment="1">
      <alignment horizontal="center" vertical="top"/>
    </xf>
    <xf numFmtId="0" fontId="6" fillId="34" borderId="1" xfId="40" applyFill="1" applyBorder="1" applyAlignment="1">
      <alignment vertical="top" wrapText="1"/>
    </xf>
    <xf numFmtId="0" fontId="6" fillId="0" borderId="1" xfId="40" applyFont="1" applyFill="1" applyBorder="1" applyAlignment="1" applyProtection="1">
      <alignment vertical="top"/>
      <protection locked="0"/>
    </xf>
    <xf numFmtId="0" fontId="6" fillId="0" borderId="1" xfId="40" applyFont="1" applyFill="1" applyBorder="1"/>
    <xf numFmtId="0" fontId="33" fillId="0" borderId="1" xfId="0" applyFont="1" applyBorder="1" applyAlignment="1" applyProtection="1">
      <alignment vertical="top"/>
      <protection locked="0"/>
    </xf>
    <xf numFmtId="0" fontId="6" fillId="34" borderId="1" xfId="40" applyFont="1" applyFill="1" applyBorder="1" applyAlignment="1">
      <alignment vertical="top"/>
    </xf>
    <xf numFmtId="11" fontId="6" fillId="34" borderId="1" xfId="67" applyNumberFormat="1" applyFont="1" applyFill="1" applyBorder="1" applyAlignment="1" applyProtection="1">
      <alignment vertical="top"/>
      <protection hidden="1"/>
    </xf>
    <xf numFmtId="0" fontId="6" fillId="34" borderId="1" xfId="40" applyFill="1" applyBorder="1" applyAlignment="1" applyProtection="1">
      <alignment vertical="top"/>
      <protection hidden="1"/>
    </xf>
    <xf numFmtId="0" fontId="28" fillId="27" borderId="0" xfId="40" applyFont="1" applyFill="1"/>
    <xf numFmtId="0" fontId="17" fillId="0" borderId="0" xfId="40" applyFont="1"/>
    <xf numFmtId="0" fontId="34" fillId="27" borderId="0" xfId="40" applyFont="1" applyFill="1"/>
    <xf numFmtId="0" fontId="35" fillId="0" borderId="0" xfId="40" applyFont="1" applyFill="1" applyAlignment="1">
      <alignment horizontal="center"/>
    </xf>
    <xf numFmtId="0" fontId="17" fillId="28" borderId="0" xfId="40" applyFont="1" applyFill="1" applyAlignment="1">
      <alignment vertical="top" wrapText="1"/>
    </xf>
    <xf numFmtId="0" fontId="36" fillId="28" borderId="0" xfId="40" applyFont="1" applyFill="1" applyAlignment="1">
      <alignment horizontal="left" vertical="top" wrapText="1"/>
    </xf>
    <xf numFmtId="0" fontId="6" fillId="28" borderId="0" xfId="40" applyFont="1" applyFill="1" applyAlignment="1">
      <alignment horizontal="left" vertical="top" wrapText="1"/>
    </xf>
    <xf numFmtId="0" fontId="6" fillId="28" borderId="0" xfId="40" applyFill="1" applyAlignment="1">
      <alignment horizontal="left" vertical="top" wrapText="1"/>
    </xf>
    <xf numFmtId="0" fontId="6" fillId="28" borderId="0" xfId="40" applyFill="1" applyAlignment="1">
      <alignment vertical="top" wrapText="1"/>
    </xf>
    <xf numFmtId="0" fontId="6" fillId="36" borderId="0" xfId="40" applyFont="1" applyFill="1" applyAlignment="1" applyProtection="1">
      <alignment vertical="top" wrapText="1"/>
      <protection hidden="1"/>
    </xf>
    <xf numFmtId="0" fontId="17" fillId="36" borderId="0" xfId="40" applyFont="1" applyFill="1" applyAlignment="1" applyProtection="1">
      <alignment horizontal="left" vertical="top" wrapText="1"/>
      <protection hidden="1"/>
    </xf>
    <xf numFmtId="0" fontId="17" fillId="36" borderId="0" xfId="40" applyFont="1" applyFill="1" applyAlignment="1" applyProtection="1">
      <alignment horizontal="center" vertical="top" wrapText="1"/>
      <protection hidden="1"/>
    </xf>
    <xf numFmtId="0" fontId="17" fillId="36" borderId="0" xfId="40" applyFont="1" applyFill="1" applyAlignment="1" applyProtection="1">
      <alignment vertical="top" wrapText="1"/>
      <protection hidden="1"/>
    </xf>
    <xf numFmtId="0" fontId="6" fillId="0" borderId="0" xfId="40" applyFont="1" applyFill="1" applyAlignment="1">
      <alignment vertical="top" wrapText="1"/>
    </xf>
    <xf numFmtId="0" fontId="6" fillId="0" borderId="0" xfId="40" applyFont="1" applyFill="1" applyAlignment="1" applyProtection="1">
      <alignment horizontal="left" vertical="top" wrapText="1"/>
      <protection locked="0"/>
    </xf>
    <xf numFmtId="0" fontId="6" fillId="0" borderId="0" xfId="40" applyFill="1" applyAlignment="1" applyProtection="1">
      <alignment horizontal="left" vertical="top" wrapText="1"/>
      <protection locked="0"/>
    </xf>
    <xf numFmtId="0" fontId="33" fillId="0" borderId="0" xfId="0" applyFont="1" applyFill="1" applyAlignment="1" applyProtection="1">
      <alignment horizontal="left" vertical="top" wrapText="1"/>
      <protection locked="0"/>
    </xf>
    <xf numFmtId="0" fontId="6" fillId="0" borderId="0" xfId="40" applyFill="1" applyAlignment="1" applyProtection="1">
      <alignment vertical="top" wrapText="1"/>
      <protection locked="0"/>
    </xf>
    <xf numFmtId="0" fontId="6" fillId="0" borderId="0" xfId="40" applyFill="1" applyProtection="1">
      <protection locked="0"/>
    </xf>
    <xf numFmtId="0" fontId="32" fillId="0" borderId="0" xfId="40" applyFont="1" applyFill="1" applyAlignment="1" applyProtection="1">
      <alignment horizontal="left" vertical="top" wrapText="1"/>
      <protection locked="0"/>
    </xf>
    <xf numFmtId="0" fontId="6" fillId="0" borderId="0" xfId="40" applyFont="1" applyFill="1" applyAlignment="1" applyProtection="1">
      <alignment vertical="top" wrapText="1"/>
      <protection locked="0"/>
    </xf>
    <xf numFmtId="0" fontId="6" fillId="37" borderId="0" xfId="40" applyFont="1" applyFill="1" applyAlignment="1">
      <alignment vertical="top" wrapText="1"/>
    </xf>
    <xf numFmtId="0" fontId="6" fillId="37" borderId="0" xfId="40" applyFont="1" applyFill="1" applyAlignment="1" applyProtection="1">
      <alignment horizontal="left" vertical="top" wrapText="1"/>
      <protection locked="0"/>
    </xf>
    <xf numFmtId="0" fontId="6" fillId="37" borderId="0" xfId="40" applyFill="1" applyAlignment="1" applyProtection="1">
      <alignment horizontal="left" vertical="top" wrapText="1"/>
      <protection locked="0"/>
    </xf>
    <xf numFmtId="0" fontId="33" fillId="37" borderId="0" xfId="0" applyFont="1" applyFill="1" applyAlignment="1" applyProtection="1">
      <alignment horizontal="left" vertical="top" wrapText="1"/>
      <protection locked="0"/>
    </xf>
    <xf numFmtId="0" fontId="6" fillId="37" borderId="0" xfId="40" applyFill="1" applyAlignment="1" applyProtection="1">
      <alignment vertical="top" wrapText="1"/>
      <protection locked="0"/>
    </xf>
    <xf numFmtId="0" fontId="6" fillId="37" borderId="0" xfId="40" applyFont="1" applyFill="1" applyAlignment="1" applyProtection="1">
      <alignment vertical="top" wrapText="1"/>
      <protection locked="0"/>
    </xf>
    <xf numFmtId="0" fontId="6" fillId="37" borderId="0" xfId="40" applyFill="1" applyProtection="1">
      <protection locked="0"/>
    </xf>
    <xf numFmtId="0" fontId="26" fillId="37" borderId="0" xfId="40" applyFont="1" applyFill="1" applyProtection="1">
      <protection locked="0"/>
    </xf>
    <xf numFmtId="49" fontId="6" fillId="0" borderId="0" xfId="40" applyNumberFormat="1" applyFont="1" applyFill="1" applyAlignment="1" applyProtection="1">
      <alignment horizontal="left" vertical="top" wrapText="1"/>
      <protection locked="0"/>
    </xf>
    <xf numFmtId="49" fontId="6" fillId="0" borderId="0" xfId="40" applyNumberFormat="1" applyFill="1" applyAlignment="1" applyProtection="1">
      <alignment horizontal="left" vertical="top" wrapText="1"/>
      <protection locked="0"/>
    </xf>
    <xf numFmtId="49" fontId="33" fillId="0" borderId="0" xfId="0" applyNumberFormat="1" applyFont="1" applyFill="1" applyAlignment="1" applyProtection="1">
      <alignment horizontal="left" vertical="top" wrapText="1"/>
      <protection locked="0"/>
    </xf>
    <xf numFmtId="49" fontId="6" fillId="0" borderId="0" xfId="40" applyNumberFormat="1" applyFill="1" applyAlignment="1" applyProtection="1">
      <alignment vertical="top" wrapText="1"/>
      <protection locked="0"/>
    </xf>
    <xf numFmtId="49" fontId="6" fillId="0" borderId="0" xfId="40" applyNumberFormat="1" applyFill="1" applyProtection="1">
      <protection locked="0"/>
    </xf>
    <xf numFmtId="0" fontId="6" fillId="37" borderId="0" xfId="68" applyFont="1" applyFill="1" applyAlignment="1" applyProtection="1">
      <alignment horizontal="left" vertical="top" wrapText="1"/>
      <protection locked="0"/>
    </xf>
    <xf numFmtId="49" fontId="6" fillId="37" borderId="0" xfId="40" applyNumberFormat="1" applyFont="1" applyFill="1" applyAlignment="1" applyProtection="1">
      <alignment horizontal="left" vertical="top" wrapText="1"/>
      <protection locked="0"/>
    </xf>
    <xf numFmtId="49" fontId="6" fillId="37" borderId="0" xfId="40" applyNumberFormat="1" applyFill="1" applyAlignment="1" applyProtection="1">
      <alignment horizontal="left" vertical="top" wrapText="1"/>
      <protection locked="0"/>
    </xf>
    <xf numFmtId="49" fontId="33" fillId="37" borderId="0" xfId="0" applyNumberFormat="1" applyFont="1" applyFill="1" applyAlignment="1" applyProtection="1">
      <alignment horizontal="left" vertical="top" wrapText="1"/>
      <protection locked="0"/>
    </xf>
    <xf numFmtId="49" fontId="6" fillId="37" borderId="0" xfId="40" applyNumberFormat="1" applyFill="1" applyAlignment="1" applyProtection="1">
      <alignment vertical="top" wrapText="1"/>
      <protection locked="0"/>
    </xf>
    <xf numFmtId="49" fontId="6" fillId="37" borderId="0" xfId="40" applyNumberFormat="1" applyFill="1" applyProtection="1">
      <protection locked="0"/>
    </xf>
    <xf numFmtId="0" fontId="32" fillId="37" borderId="0" xfId="40" applyFont="1" applyFill="1" applyAlignment="1" applyProtection="1">
      <alignment horizontal="left"/>
      <protection locked="0"/>
    </xf>
    <xf numFmtId="0" fontId="6" fillId="0" borderId="0" xfId="40" applyFont="1" applyFill="1" applyAlignment="1">
      <alignment horizontal="left" vertical="top"/>
    </xf>
    <xf numFmtId="0" fontId="6" fillId="0" borderId="0" xfId="40" applyFont="1" applyAlignment="1">
      <alignment horizontal="left" vertical="top"/>
    </xf>
    <xf numFmtId="0" fontId="37" fillId="0" borderId="0" xfId="68" applyFont="1" applyFill="1" applyAlignment="1" applyProtection="1">
      <alignment horizontal="left" vertical="top"/>
      <protection locked="0"/>
    </xf>
    <xf numFmtId="0" fontId="6" fillId="0" borderId="0" xfId="40" applyFont="1" applyFill="1" applyAlignment="1" applyProtection="1">
      <alignment horizontal="left" vertical="top"/>
      <protection locked="0"/>
    </xf>
    <xf numFmtId="0" fontId="6" fillId="0" borderId="0" xfId="68" applyFont="1" applyFill="1" applyAlignment="1" applyProtection="1">
      <alignment horizontal="left" vertical="top"/>
      <protection locked="0"/>
    </xf>
    <xf numFmtId="0" fontId="6" fillId="37" borderId="0" xfId="0" applyFont="1" applyFill="1" applyAlignment="1" applyProtection="1">
      <alignment horizontal="left" vertical="top" wrapText="1"/>
      <protection locked="0"/>
    </xf>
    <xf numFmtId="0" fontId="6" fillId="37" borderId="0" xfId="40" applyNumberFormat="1" applyFont="1" applyFill="1" applyAlignment="1" applyProtection="1">
      <alignment horizontal="left" vertical="top" wrapText="1"/>
      <protection locked="0"/>
    </xf>
    <xf numFmtId="0" fontId="26" fillId="37" borderId="0" xfId="40" applyFont="1" applyFill="1" applyAlignment="1" applyProtection="1">
      <alignment horizontal="left" vertical="top" wrapText="1"/>
      <protection locked="0"/>
    </xf>
    <xf numFmtId="0" fontId="26" fillId="37" borderId="0" xfId="40" applyFont="1" applyFill="1" applyAlignment="1" applyProtection="1">
      <alignment vertical="top" wrapText="1"/>
      <protection locked="0"/>
    </xf>
    <xf numFmtId="0" fontId="6" fillId="37" borderId="0" xfId="40" applyFont="1" applyFill="1" applyProtection="1">
      <protection locked="0"/>
    </xf>
    <xf numFmtId="0" fontId="6" fillId="38" borderId="0" xfId="40" applyFill="1" applyAlignment="1">
      <alignment vertical="top" wrapText="1"/>
    </xf>
    <xf numFmtId="0" fontId="6" fillId="38" borderId="0" xfId="40" applyFill="1" applyAlignment="1">
      <alignment horizontal="left" vertical="top" wrapText="1"/>
    </xf>
    <xf numFmtId="0" fontId="28" fillId="0" borderId="0" xfId="40" applyFont="1" applyFill="1" applyAlignment="1">
      <alignment wrapText="1"/>
    </xf>
    <xf numFmtId="0" fontId="6" fillId="0" borderId="0" xfId="40" applyAlignment="1">
      <alignment horizontal="left" vertical="top" wrapText="1"/>
    </xf>
    <xf numFmtId="0" fontId="6" fillId="0" borderId="0" xfId="40" applyAlignment="1">
      <alignment vertical="top" wrapText="1"/>
    </xf>
    <xf numFmtId="0" fontId="17" fillId="0" borderId="0" xfId="40" applyFont="1" applyAlignment="1">
      <alignment vertical="top" wrapText="1"/>
    </xf>
    <xf numFmtId="0" fontId="17" fillId="0" borderId="0" xfId="40" applyFont="1" applyAlignment="1">
      <alignment horizontal="left" vertical="top" wrapText="1"/>
    </xf>
    <xf numFmtId="0" fontId="34" fillId="0" borderId="0" xfId="40" applyFont="1" applyAlignment="1">
      <alignment horizontal="left"/>
    </xf>
    <xf numFmtId="0" fontId="6" fillId="0" borderId="0" xfId="40" applyAlignment="1">
      <alignment horizontal="left"/>
    </xf>
    <xf numFmtId="0" fontId="33" fillId="0" borderId="0" xfId="40" applyFont="1" applyFill="1"/>
    <xf numFmtId="0" fontId="33" fillId="0" borderId="0" xfId="40" applyFont="1" applyFill="1" applyAlignment="1">
      <alignment horizontal="left"/>
    </xf>
    <xf numFmtId="0" fontId="33" fillId="0" borderId="0" xfId="0" applyFont="1"/>
    <xf numFmtId="0" fontId="6" fillId="0" borderId="0" xfId="40" applyFont="1" applyFill="1"/>
    <xf numFmtId="0" fontId="6" fillId="0" borderId="0" xfId="40" applyFont="1" applyFill="1" applyAlignment="1">
      <alignment horizontal="right"/>
    </xf>
    <xf numFmtId="0" fontId="6" fillId="0" borderId="0" xfId="40" applyFont="1"/>
    <xf numFmtId="0" fontId="29" fillId="0" borderId="0" xfId="40" applyFont="1"/>
    <xf numFmtId="2" fontId="33" fillId="0" borderId="0" xfId="0" applyNumberFormat="1" applyFont="1"/>
    <xf numFmtId="2" fontId="33" fillId="0" borderId="0" xfId="0" applyNumberFormat="1" applyFont="1" applyFill="1" applyBorder="1"/>
    <xf numFmtId="172" fontId="6" fillId="0" borderId="0" xfId="40" applyNumberFormat="1" applyFont="1"/>
    <xf numFmtId="171" fontId="32" fillId="0" borderId="0" xfId="0" applyNumberFormat="1" applyFont="1" applyFill="1" applyBorder="1" applyAlignment="1">
      <alignment horizontal="right" vertical="center"/>
    </xf>
    <xf numFmtId="0" fontId="6" fillId="0" borderId="0" xfId="0" applyFont="1"/>
    <xf numFmtId="171" fontId="6" fillId="0" borderId="0" xfId="0" applyNumberFormat="1" applyFont="1"/>
    <xf numFmtId="0" fontId="6" fillId="0" borderId="0" xfId="0" applyFont="1" applyFill="1" applyBorder="1"/>
    <xf numFmtId="0" fontId="37" fillId="0" borderId="0" xfId="68" applyFont="1" applyAlignment="1" applyProtection="1"/>
    <xf numFmtId="0" fontId="6" fillId="0" borderId="23" xfId="40" applyFont="1" applyFill="1" applyBorder="1" applyAlignment="1">
      <alignment horizontal="center" vertical="center" wrapText="1"/>
    </xf>
    <xf numFmtId="0" fontId="35" fillId="0" borderId="0" xfId="40" applyFont="1" applyFill="1" applyAlignment="1">
      <alignment horizontal="center"/>
    </xf>
    <xf numFmtId="0" fontId="40" fillId="0" borderId="0" xfId="40" applyFont="1" applyFill="1"/>
    <xf numFmtId="0" fontId="6" fillId="0" borderId="0" xfId="40" applyFont="1" applyAlignment="1">
      <alignment horizontal="left" wrapText="1"/>
    </xf>
    <xf numFmtId="0" fontId="17" fillId="0" borderId="1" xfId="40" applyFont="1" applyBorder="1" applyAlignment="1">
      <alignment horizontal="left"/>
    </xf>
    <xf numFmtId="0" fontId="6" fillId="0" borderId="1" xfId="40" applyFont="1" applyBorder="1" applyAlignment="1">
      <alignment horizontal="left" wrapText="1"/>
    </xf>
    <xf numFmtId="0" fontId="6" fillId="0" borderId="1" xfId="40" applyFont="1" applyBorder="1" applyAlignment="1">
      <alignment horizontal="left"/>
    </xf>
    <xf numFmtId="0" fontId="6" fillId="0" borderId="1" xfId="40" applyBorder="1"/>
    <xf numFmtId="0" fontId="6" fillId="30" borderId="1" xfId="40" applyFont="1" applyFill="1" applyBorder="1" applyAlignment="1">
      <alignment horizontal="left" wrapText="1"/>
    </xf>
    <xf numFmtId="0" fontId="26" fillId="30" borderId="1" xfId="40" applyFont="1" applyFill="1" applyBorder="1" applyAlignment="1">
      <alignment horizontal="left" wrapText="1"/>
    </xf>
    <xf numFmtId="0" fontId="26" fillId="30" borderId="1" xfId="40" applyFont="1" applyFill="1" applyBorder="1" applyAlignment="1">
      <alignment horizontal="left"/>
    </xf>
    <xf numFmtId="0" fontId="17" fillId="0" borderId="1" xfId="40" applyFont="1" applyFill="1" applyBorder="1" applyAlignment="1">
      <alignment horizontal="left"/>
    </xf>
    <xf numFmtId="0" fontId="6" fillId="0" borderId="1" xfId="40" applyBorder="1" applyAlignment="1">
      <alignment horizontal="left"/>
    </xf>
    <xf numFmtId="0" fontId="41" fillId="32" borderId="0" xfId="40" applyFont="1" applyFill="1"/>
    <xf numFmtId="0" fontId="6" fillId="32" borderId="0" xfId="40" applyFill="1"/>
    <xf numFmtId="0" fontId="17" fillId="35" borderId="39" xfId="40" applyFont="1" applyFill="1" applyBorder="1" applyAlignment="1">
      <alignment horizontal="center"/>
    </xf>
    <xf numFmtId="0" fontId="7" fillId="0" borderId="39" xfId="40" applyFont="1" applyBorder="1" applyAlignment="1">
      <alignment wrapText="1"/>
    </xf>
    <xf numFmtId="0" fontId="42" fillId="0" borderId="39" xfId="40" applyFont="1" applyBorder="1" applyAlignment="1">
      <alignment wrapText="1"/>
    </xf>
    <xf numFmtId="0" fontId="17" fillId="0" borderId="38" xfId="40" applyFont="1" applyBorder="1" applyAlignment="1">
      <alignment wrapText="1"/>
    </xf>
    <xf numFmtId="0" fontId="17" fillId="0" borderId="0" xfId="40" applyFont="1" applyFill="1" applyBorder="1" applyAlignment="1">
      <alignment wrapText="1"/>
    </xf>
    <xf numFmtId="0" fontId="7" fillId="0" borderId="0" xfId="40" applyFont="1" applyBorder="1" applyAlignment="1">
      <alignment wrapText="1"/>
    </xf>
    <xf numFmtId="0" fontId="41" fillId="0" borderId="0" xfId="0" applyFont="1" applyFill="1"/>
    <xf numFmtId="0" fontId="17" fillId="0" borderId="30" xfId="0" applyFont="1" applyBorder="1" applyAlignment="1">
      <alignment horizontal="left" vertical="center"/>
    </xf>
    <xf numFmtId="0" fontId="6" fillId="0" borderId="31" xfId="0" applyFont="1" applyBorder="1"/>
    <xf numFmtId="0" fontId="6" fillId="0" borderId="32" xfId="0" applyFont="1" applyBorder="1"/>
    <xf numFmtId="0" fontId="0" fillId="0" borderId="33" xfId="0" applyBorder="1"/>
    <xf numFmtId="0" fontId="17" fillId="0" borderId="0" xfId="0" applyFont="1" applyAlignment="1">
      <alignment wrapText="1"/>
    </xf>
    <xf numFmtId="0" fontId="17" fillId="0" borderId="1" xfId="0" applyFont="1" applyBorder="1" applyAlignment="1">
      <alignment vertical="center"/>
    </xf>
    <xf numFmtId="0" fontId="6" fillId="0" borderId="31"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horizontal="left" vertical="center"/>
    </xf>
    <xf numFmtId="0" fontId="6" fillId="0" borderId="0" xfId="0" applyFont="1" applyBorder="1" applyAlignment="1">
      <alignment vertical="center"/>
    </xf>
    <xf numFmtId="0" fontId="6" fillId="0" borderId="34" xfId="0" applyFont="1" applyBorder="1" applyAlignment="1">
      <alignment vertical="center"/>
    </xf>
    <xf numFmtId="0" fontId="6" fillId="0" borderId="0" xfId="0" applyFont="1" applyAlignment="1">
      <alignment wrapText="1"/>
    </xf>
    <xf numFmtId="0" fontId="0" fillId="0" borderId="35" xfId="0" applyBorder="1"/>
    <xf numFmtId="0" fontId="43" fillId="0" borderId="0" xfId="0" applyFont="1"/>
    <xf numFmtId="0" fontId="41" fillId="0" borderId="0" xfId="0" applyFont="1" applyFill="1" applyBorder="1" applyAlignment="1">
      <alignment horizontal="left"/>
    </xf>
    <xf numFmtId="0" fontId="44" fillId="0" borderId="0" xfId="0" applyFont="1"/>
    <xf numFmtId="0" fontId="0" fillId="0" borderId="22" xfId="0" applyBorder="1"/>
    <xf numFmtId="0" fontId="0" fillId="0" borderId="36" xfId="0" applyBorder="1"/>
    <xf numFmtId="0" fontId="6" fillId="0" borderId="35" xfId="0" applyFont="1" applyBorder="1"/>
    <xf numFmtId="0" fontId="33" fillId="0" borderId="33" xfId="40" applyFont="1" applyFill="1" applyBorder="1"/>
    <xf numFmtId="0" fontId="33" fillId="0" borderId="33" xfId="0" applyFont="1" applyBorder="1"/>
    <xf numFmtId="0" fontId="33" fillId="0" borderId="22" xfId="40" applyFont="1" applyFill="1" applyBorder="1"/>
    <xf numFmtId="0" fontId="39" fillId="0" borderId="22" xfId="40" applyFont="1" applyFill="1" applyBorder="1" applyAlignment="1">
      <alignment horizontal="left"/>
    </xf>
    <xf numFmtId="0" fontId="33" fillId="0" borderId="35" xfId="40" applyFont="1" applyFill="1" applyBorder="1"/>
    <xf numFmtId="0" fontId="17" fillId="0" borderId="22" xfId="40" applyFont="1" applyFill="1" applyBorder="1"/>
    <xf numFmtId="0" fontId="17" fillId="0" borderId="22" xfId="40" applyFont="1" applyBorder="1"/>
    <xf numFmtId="0" fontId="33" fillId="31" borderId="0" xfId="40" applyFont="1" applyFill="1" applyBorder="1"/>
    <xf numFmtId="0" fontId="39" fillId="0" borderId="0" xfId="40" applyFont="1" applyFill="1" applyBorder="1" applyAlignment="1">
      <alignment horizontal="left"/>
    </xf>
    <xf numFmtId="0" fontId="39" fillId="0" borderId="0" xfId="40" applyFont="1" applyFill="1" applyBorder="1"/>
    <xf numFmtId="14" fontId="6" fillId="27" borderId="0" xfId="40" applyNumberFormat="1" applyFont="1" applyFill="1" applyAlignment="1">
      <alignment horizontal="left"/>
    </xf>
    <xf numFmtId="0" fontId="17" fillId="39" borderId="1" xfId="40" applyFont="1" applyFill="1" applyBorder="1" applyAlignment="1">
      <alignment horizontal="left" wrapText="1"/>
    </xf>
    <xf numFmtId="0" fontId="6" fillId="0" borderId="0" xfId="83" applyFill="1" applyAlignment="1" applyProtection="1">
      <alignment horizontal="left" vertical="top" wrapText="1"/>
      <protection locked="0"/>
    </xf>
    <xf numFmtId="49" fontId="6" fillId="0" borderId="0" xfId="83" applyNumberFormat="1" applyFont="1" applyFill="1" applyAlignment="1" applyProtection="1">
      <alignment horizontal="left" vertical="top" wrapText="1"/>
      <protection locked="0"/>
    </xf>
    <xf numFmtId="49" fontId="6" fillId="0" borderId="0" xfId="83" applyNumberFormat="1" applyFill="1" applyAlignment="1" applyProtection="1">
      <alignment horizontal="left" vertical="top" wrapText="1"/>
      <protection locked="0"/>
    </xf>
    <xf numFmtId="0" fontId="6" fillId="37" borderId="0" xfId="83" applyFill="1" applyAlignment="1" applyProtection="1">
      <alignment horizontal="left" vertical="top" wrapText="1"/>
      <protection locked="0"/>
    </xf>
    <xf numFmtId="0" fontId="6" fillId="37" borderId="0" xfId="83" applyFont="1" applyFill="1" applyAlignment="1" applyProtection="1">
      <alignment horizontal="left" vertical="top" wrapText="1"/>
      <protection locked="0"/>
    </xf>
    <xf numFmtId="0" fontId="6" fillId="0" borderId="0" xfId="83" applyFont="1" applyFill="1" applyAlignment="1" applyProtection="1">
      <alignment horizontal="left" vertical="top" wrapText="1"/>
      <protection locked="0"/>
    </xf>
    <xf numFmtId="0" fontId="6" fillId="30" borderId="26" xfId="40" applyFont="1" applyFill="1" applyBorder="1" applyAlignment="1">
      <alignment horizontal="left" vertical="center"/>
    </xf>
    <xf numFmtId="173" fontId="33" fillId="0" borderId="0" xfId="0" applyNumberFormat="1" applyFont="1"/>
    <xf numFmtId="0" fontId="33" fillId="0" borderId="0" xfId="0" applyNumberFormat="1" applyFont="1"/>
    <xf numFmtId="0" fontId="33" fillId="0" borderId="0" xfId="0" applyFont="1" applyFill="1"/>
    <xf numFmtId="49" fontId="6" fillId="37" borderId="0" xfId="83" applyNumberFormat="1" applyFont="1" applyFill="1" applyAlignment="1" applyProtection="1">
      <alignment horizontal="left" vertical="top" wrapText="1"/>
      <protection locked="0"/>
    </xf>
    <xf numFmtId="0" fontId="35" fillId="0" borderId="0" xfId="40" applyFont="1" applyFill="1" applyAlignment="1">
      <alignment horizontal="center"/>
    </xf>
    <xf numFmtId="0" fontId="29" fillId="0" borderId="0" xfId="40" applyFont="1" applyAlignment="1">
      <alignment horizontal="center"/>
    </xf>
    <xf numFmtId="0" fontId="17" fillId="0" borderId="22" xfId="40" applyFont="1" applyBorder="1" applyAlignment="1">
      <alignment horizontal="center"/>
    </xf>
    <xf numFmtId="0" fontId="45" fillId="0" borderId="0" xfId="40" applyFont="1" applyFill="1"/>
    <xf numFmtId="0" fontId="46" fillId="0" borderId="0" xfId="40" applyFont="1"/>
    <xf numFmtId="3" fontId="6" fillId="0" borderId="0" xfId="40" applyNumberFormat="1" applyAlignment="1"/>
    <xf numFmtId="0" fontId="6" fillId="0" borderId="0" xfId="40" applyAlignment="1"/>
    <xf numFmtId="0" fontId="6" fillId="0" borderId="0" xfId="40" applyFont="1" applyFill="1" applyAlignment="1"/>
    <xf numFmtId="174" fontId="6" fillId="0" borderId="0" xfId="43" applyNumberFormat="1" applyFont="1" applyAlignment="1"/>
    <xf numFmtId="0" fontId="6" fillId="0" borderId="0" xfId="40" applyFont="1" applyAlignment="1">
      <alignment horizontal="right"/>
    </xf>
    <xf numFmtId="0" fontId="6" fillId="0" borderId="0" xfId="40" applyAlignment="1">
      <alignment wrapText="1"/>
    </xf>
    <xf numFmtId="0" fontId="46" fillId="0" borderId="0" xfId="40" applyFont="1" applyAlignment="1">
      <alignment wrapText="1"/>
    </xf>
    <xf numFmtId="3" fontId="6" fillId="0" borderId="0" xfId="40" applyNumberFormat="1"/>
    <xf numFmtId="0" fontId="6" fillId="0" borderId="0" xfId="40" applyFont="1" applyAlignment="1">
      <alignment horizontal="center"/>
    </xf>
    <xf numFmtId="0" fontId="6" fillId="0" borderId="1" xfId="40" applyFont="1" applyFill="1" applyBorder="1" applyAlignment="1">
      <alignment vertical="top"/>
    </xf>
    <xf numFmtId="0" fontId="6" fillId="0" borderId="1" xfId="0" applyFont="1" applyBorder="1" applyAlignment="1">
      <alignment vertical="top"/>
    </xf>
    <xf numFmtId="175" fontId="33" fillId="0" borderId="1" xfId="0" applyNumberFormat="1" applyFont="1" applyBorder="1" applyAlignment="1" applyProtection="1">
      <alignment vertical="top"/>
      <protection locked="0"/>
    </xf>
    <xf numFmtId="3" fontId="33" fillId="0" borderId="0" xfId="0" applyNumberFormat="1" applyFont="1"/>
    <xf numFmtId="0" fontId="33" fillId="0" borderId="0" xfId="0" applyFont="1" applyAlignment="1">
      <alignment horizontal="center"/>
    </xf>
    <xf numFmtId="0" fontId="6" fillId="0" borderId="0" xfId="0" applyFont="1" applyFill="1" applyAlignment="1" applyProtection="1">
      <alignment horizontal="left" vertical="top" wrapText="1"/>
      <protection locked="0"/>
    </xf>
    <xf numFmtId="49" fontId="6" fillId="0" borderId="0" xfId="0" applyNumberFormat="1" applyFont="1" applyFill="1" applyAlignment="1" applyProtection="1">
      <alignment horizontal="left" vertical="top" wrapText="1"/>
      <protection locked="0"/>
    </xf>
    <xf numFmtId="49" fontId="6" fillId="37" borderId="0" xfId="83" applyNumberFormat="1" applyFill="1" applyAlignment="1" applyProtection="1">
      <alignment horizontal="left" vertical="top" wrapText="1"/>
      <protection locked="0"/>
    </xf>
    <xf numFmtId="0" fontId="47" fillId="0" borderId="0" xfId="40" applyFont="1" applyBorder="1" applyAlignment="1"/>
    <xf numFmtId="0" fontId="17" fillId="0" borderId="1" xfId="40" applyFont="1" applyBorder="1" applyAlignment="1">
      <alignment horizontal="center"/>
    </xf>
    <xf numFmtId="0" fontId="17" fillId="0" borderId="1" xfId="40" applyFont="1" applyBorder="1" applyAlignment="1">
      <alignment horizontal="center" wrapText="1"/>
    </xf>
    <xf numFmtId="0" fontId="17" fillId="0" borderId="0" xfId="40" applyFont="1" applyBorder="1" applyAlignment="1">
      <alignment horizontal="center"/>
    </xf>
    <xf numFmtId="3" fontId="6" fillId="0" borderId="1" xfId="40" applyNumberFormat="1" applyBorder="1" applyAlignment="1">
      <alignment horizontal="center"/>
    </xf>
    <xf numFmtId="0" fontId="6" fillId="0" borderId="0" xfId="40" applyBorder="1"/>
    <xf numFmtId="0" fontId="17" fillId="0" borderId="1" xfId="40" applyFont="1" applyBorder="1" applyAlignment="1">
      <alignment horizontal="right"/>
    </xf>
    <xf numFmtId="0" fontId="17" fillId="0" borderId="0" xfId="40" applyFont="1" applyFill="1"/>
    <xf numFmtId="0" fontId="47" fillId="0" borderId="0" xfId="40" applyFont="1" applyBorder="1" applyAlignment="1">
      <alignment horizontal="center"/>
    </xf>
    <xf numFmtId="179" fontId="33" fillId="0" borderId="0" xfId="0" applyNumberFormat="1" applyFont="1"/>
    <xf numFmtId="49" fontId="0" fillId="0" borderId="0" xfId="0" applyNumberFormat="1" applyFill="1" applyAlignment="1" applyProtection="1">
      <alignment horizontal="left" vertical="top" wrapText="1"/>
      <protection locked="0"/>
    </xf>
    <xf numFmtId="0" fontId="6" fillId="0" borderId="1" xfId="40" applyBorder="1" applyAlignment="1" applyProtection="1">
      <alignment horizontal="center"/>
      <protection locked="0"/>
    </xf>
    <xf numFmtId="0" fontId="6" fillId="0" borderId="23" xfId="40" applyFont="1" applyBorder="1" applyAlignment="1" applyProtection="1">
      <alignment horizontal="left"/>
      <protection locked="0"/>
    </xf>
    <xf numFmtId="0" fontId="6" fillId="0" borderId="28" xfId="40" applyFont="1" applyBorder="1" applyAlignment="1" applyProtection="1">
      <alignment horizontal="left"/>
      <protection locked="0"/>
    </xf>
    <xf numFmtId="177" fontId="33" fillId="0" borderId="1" xfId="0" applyNumberFormat="1" applyFont="1" applyBorder="1" applyAlignment="1" applyProtection="1">
      <alignment vertical="top"/>
      <protection locked="0"/>
    </xf>
    <xf numFmtId="0" fontId="33" fillId="0" borderId="1" xfId="0" applyFont="1" applyBorder="1" applyAlignment="1" applyProtection="1">
      <alignment horizontal="left"/>
      <protection locked="0"/>
    </xf>
    <xf numFmtId="0" fontId="6" fillId="0" borderId="1" xfId="40" applyFill="1" applyBorder="1" applyAlignment="1" applyProtection="1">
      <alignment horizontal="right" vertical="top" wrapText="1"/>
      <protection locked="0"/>
    </xf>
    <xf numFmtId="0" fontId="33" fillId="0" borderId="1" xfId="0" applyFont="1" applyBorder="1" applyAlignment="1" applyProtection="1">
      <alignment horizontal="right"/>
      <protection locked="0"/>
    </xf>
    <xf numFmtId="0" fontId="6" fillId="28" borderId="15" xfId="40" applyFont="1" applyFill="1" applyBorder="1" applyAlignment="1">
      <alignment horizontal="left" vertical="center"/>
    </xf>
    <xf numFmtId="0" fontId="6" fillId="0" borderId="14" xfId="40" applyFont="1" applyBorder="1" applyAlignment="1" applyProtection="1">
      <protection locked="0"/>
    </xf>
    <xf numFmtId="41" fontId="17" fillId="0" borderId="0" xfId="28" applyNumberFormat="1" applyFont="1" applyFill="1"/>
    <xf numFmtId="11" fontId="0" fillId="0" borderId="0" xfId="0" applyNumberFormat="1"/>
    <xf numFmtId="0" fontId="33" fillId="0" borderId="1" xfId="0" applyFont="1" applyBorder="1" applyAlignment="1" applyProtection="1">
      <protection locked="0"/>
    </xf>
    <xf numFmtId="0" fontId="6" fillId="0" borderId="1" xfId="40" applyBorder="1" applyAlignment="1" applyProtection="1">
      <protection locked="0"/>
    </xf>
    <xf numFmtId="0" fontId="6" fillId="0" borderId="29" xfId="40" applyFont="1" applyBorder="1" applyProtection="1">
      <protection locked="0"/>
    </xf>
    <xf numFmtId="1" fontId="6" fillId="0" borderId="1" xfId="40" applyNumberFormat="1" applyBorder="1" applyAlignment="1" applyProtection="1">
      <alignment vertical="top"/>
      <protection locked="0"/>
    </xf>
    <xf numFmtId="0" fontId="6" fillId="0" borderId="1" xfId="40" applyFont="1" applyBorder="1" applyAlignment="1" applyProtection="1">
      <alignment vertical="top"/>
      <protection locked="0"/>
    </xf>
    <xf numFmtId="0" fontId="6" fillId="0" borderId="14" xfId="40" applyFont="1" applyFill="1" applyBorder="1" applyAlignment="1" applyProtection="1">
      <alignment horizontal="left" wrapText="1"/>
      <protection locked="0"/>
    </xf>
    <xf numFmtId="0" fontId="6" fillId="0" borderId="23" xfId="40" applyFont="1" applyFill="1" applyBorder="1" applyAlignment="1" applyProtection="1">
      <alignment horizontal="left" wrapText="1"/>
      <protection locked="0"/>
    </xf>
    <xf numFmtId="0" fontId="6" fillId="0" borderId="28" xfId="40" applyFont="1" applyFill="1" applyBorder="1" applyAlignment="1" applyProtection="1">
      <alignment horizontal="left" wrapText="1"/>
      <protection locked="0"/>
    </xf>
    <xf numFmtId="0" fontId="6" fillId="0" borderId="0" xfId="40" applyFont="1" applyFill="1" applyBorder="1"/>
    <xf numFmtId="0" fontId="49" fillId="0" borderId="0" xfId="40" applyFont="1" applyFill="1" applyAlignment="1">
      <alignment horizontal="center"/>
    </xf>
    <xf numFmtId="0" fontId="39" fillId="0" borderId="33" xfId="40" applyFont="1" applyFill="1" applyBorder="1"/>
    <xf numFmtId="0" fontId="50" fillId="0" borderId="0" xfId="40" applyFont="1" applyFill="1"/>
    <xf numFmtId="0" fontId="39" fillId="0" borderId="0" xfId="0" applyFont="1" applyAlignment="1">
      <alignment horizontal="center"/>
    </xf>
    <xf numFmtId="0" fontId="39" fillId="0" borderId="0" xfId="0" applyFont="1"/>
    <xf numFmtId="0" fontId="33" fillId="0" borderId="0" xfId="0" applyFont="1" applyAlignment="1">
      <alignment horizontal="left"/>
    </xf>
    <xf numFmtId="0" fontId="17" fillId="0" borderId="0" xfId="40" applyFont="1" applyFill="1" applyBorder="1"/>
    <xf numFmtId="0" fontId="33" fillId="0" borderId="0" xfId="40" applyFont="1" applyFill="1" applyBorder="1"/>
    <xf numFmtId="0" fontId="50" fillId="0" borderId="0" xfId="40" applyFont="1" applyFill="1" applyBorder="1" applyAlignment="1">
      <alignment horizontal="center" vertical="center" wrapText="1"/>
    </xf>
    <xf numFmtId="3" fontId="33" fillId="0" borderId="0" xfId="0" applyNumberFormat="1" applyFont="1" applyFill="1" applyAlignment="1">
      <alignment horizontal="center"/>
    </xf>
    <xf numFmtId="0" fontId="33" fillId="0" borderId="0" xfId="0" applyFont="1" applyFill="1" applyAlignment="1">
      <alignment horizontal="center"/>
    </xf>
    <xf numFmtId="172" fontId="33" fillId="0" borderId="0" xfId="0" applyNumberFormat="1" applyFont="1" applyFill="1" applyAlignment="1">
      <alignment horizontal="center"/>
    </xf>
    <xf numFmtId="0" fontId="6" fillId="0" borderId="23" xfId="40" applyFont="1" applyBorder="1" applyAlignment="1" applyProtection="1">
      <alignment horizontal="left"/>
      <protection locked="0"/>
    </xf>
    <xf numFmtId="0" fontId="6" fillId="0" borderId="28" xfId="40" applyFont="1" applyBorder="1" applyAlignment="1" applyProtection="1">
      <alignment horizontal="left"/>
      <protection locked="0"/>
    </xf>
    <xf numFmtId="11" fontId="33" fillId="35" borderId="1" xfId="0" applyNumberFormat="1" applyFont="1" applyFill="1" applyBorder="1" applyAlignment="1" applyProtection="1">
      <alignment vertical="top"/>
      <protection hidden="1"/>
    </xf>
    <xf numFmtId="11" fontId="33" fillId="0" borderId="1" xfId="0" applyNumberFormat="1" applyFont="1" applyBorder="1" applyAlignment="1" applyProtection="1">
      <alignment vertical="top"/>
      <protection locked="0"/>
    </xf>
    <xf numFmtId="11" fontId="33" fillId="0" borderId="1" xfId="0" applyNumberFormat="1" applyFont="1" applyBorder="1" applyProtection="1">
      <protection locked="0"/>
    </xf>
    <xf numFmtId="11" fontId="33" fillId="0" borderId="1" xfId="0" applyNumberFormat="1" applyFont="1" applyFill="1" applyBorder="1" applyProtection="1">
      <protection locked="0"/>
    </xf>
    <xf numFmtId="1" fontId="6" fillId="35" borderId="1" xfId="67" applyNumberFormat="1" applyFont="1" applyFill="1" applyBorder="1" applyAlignment="1" applyProtection="1">
      <alignment vertical="top"/>
      <protection hidden="1"/>
    </xf>
    <xf numFmtId="1" fontId="33" fillId="35" borderId="1" xfId="0" applyNumberFormat="1" applyFont="1" applyFill="1" applyBorder="1" applyAlignment="1" applyProtection="1">
      <alignment vertical="top"/>
      <protection hidden="1"/>
    </xf>
    <xf numFmtId="0" fontId="0" fillId="31" borderId="0" xfId="0" applyFill="1"/>
    <xf numFmtId="0" fontId="51" fillId="40" borderId="43" xfId="98" applyAlignment="1">
      <alignment wrapText="1"/>
    </xf>
    <xf numFmtId="180" fontId="51" fillId="40" borderId="43" xfId="98" applyNumberFormat="1" applyAlignment="1">
      <alignment wrapText="1"/>
    </xf>
    <xf numFmtId="9" fontId="0" fillId="0" borderId="0" xfId="0" applyNumberFormat="1"/>
    <xf numFmtId="0" fontId="51" fillId="40" borderId="43" xfId="98"/>
    <xf numFmtId="10" fontId="51" fillId="40" borderId="43" xfId="98" applyNumberFormat="1"/>
    <xf numFmtId="0" fontId="6" fillId="30" borderId="44" xfId="40" applyFont="1" applyFill="1" applyBorder="1" applyAlignment="1">
      <alignment horizontal="left" vertical="center" wrapText="1"/>
    </xf>
    <xf numFmtId="0" fontId="6" fillId="30" borderId="23" xfId="40" applyFont="1" applyFill="1" applyBorder="1" applyAlignment="1">
      <alignment horizontal="left" vertical="center"/>
    </xf>
    <xf numFmtId="0" fontId="45" fillId="0" borderId="0" xfId="99" applyFont="1" applyFill="1"/>
    <xf numFmtId="0" fontId="52" fillId="0" borderId="0" xfId="99" applyFill="1"/>
    <xf numFmtId="0" fontId="35" fillId="0" borderId="0" xfId="99" applyFont="1" applyFill="1" applyAlignment="1">
      <alignment horizontal="center"/>
    </xf>
    <xf numFmtId="0" fontId="52" fillId="0" borderId="0" xfId="99"/>
    <xf numFmtId="0" fontId="40" fillId="0" borderId="0" xfId="99" applyFont="1" applyFill="1"/>
    <xf numFmtId="0" fontId="40" fillId="0" borderId="0" xfId="99" applyFont="1" applyFill="1" applyAlignment="1">
      <alignment horizontal="right"/>
    </xf>
    <xf numFmtId="0" fontId="46" fillId="0" borderId="0" xfId="99" applyFont="1"/>
    <xf numFmtId="0" fontId="6" fillId="0" borderId="0" xfId="99" applyFont="1"/>
    <xf numFmtId="0" fontId="52" fillId="0" borderId="0" xfId="99" applyAlignment="1"/>
    <xf numFmtId="2" fontId="52" fillId="0" borderId="0" xfId="99" applyNumberFormat="1" applyAlignment="1"/>
    <xf numFmtId="176" fontId="52" fillId="0" borderId="0" xfId="99" applyNumberFormat="1" applyAlignment="1"/>
    <xf numFmtId="1" fontId="52" fillId="0" borderId="0" xfId="99" applyNumberFormat="1" applyAlignment="1"/>
    <xf numFmtId="0" fontId="17" fillId="0" borderId="0" xfId="99" applyFont="1"/>
    <xf numFmtId="0" fontId="6" fillId="0" borderId="0" xfId="99" applyFont="1" applyAlignment="1">
      <alignment horizontal="right"/>
    </xf>
    <xf numFmtId="0" fontId="52" fillId="0" borderId="0" xfId="99" applyAlignment="1">
      <alignment horizontal="right"/>
    </xf>
    <xf numFmtId="178" fontId="6" fillId="0" borderId="0" xfId="99" applyNumberFormat="1" applyFont="1"/>
    <xf numFmtId="178" fontId="17" fillId="0" borderId="0" xfId="99" applyNumberFormat="1" applyFont="1"/>
    <xf numFmtId="0" fontId="35" fillId="0" borderId="0" xfId="40" applyFont="1" applyFill="1" applyAlignment="1">
      <alignment horizontal="center"/>
    </xf>
    <xf numFmtId="0" fontId="6" fillId="0" borderId="0" xfId="99" applyFont="1" applyFill="1" applyAlignment="1">
      <alignment horizontal="right"/>
    </xf>
    <xf numFmtId="0" fontId="52" fillId="0" borderId="0" xfId="99" applyFill="1" applyAlignment="1">
      <alignment horizontal="right"/>
    </xf>
    <xf numFmtId="0" fontId="6" fillId="0" borderId="14" xfId="40" applyFont="1" applyBorder="1" applyAlignment="1" applyProtection="1">
      <alignment horizontal="left"/>
      <protection locked="0"/>
    </xf>
    <xf numFmtId="0" fontId="6" fillId="0" borderId="23" xfId="40" applyFont="1" applyBorder="1" applyAlignment="1" applyProtection="1">
      <alignment horizontal="left"/>
      <protection locked="0"/>
    </xf>
    <xf numFmtId="0" fontId="6" fillId="0" borderId="28" xfId="40" applyFont="1" applyBorder="1" applyAlignment="1" applyProtection="1">
      <alignment horizontal="left"/>
      <protection locked="0"/>
    </xf>
    <xf numFmtId="0" fontId="6" fillId="0" borderId="23" xfId="40" applyFont="1" applyFill="1" applyBorder="1" applyAlignment="1" applyProtection="1">
      <alignment horizontal="left" vertical="top" wrapText="1"/>
      <protection locked="0"/>
    </xf>
    <xf numFmtId="0" fontId="6" fillId="0" borderId="28" xfId="40" applyFont="1" applyFill="1" applyBorder="1" applyAlignment="1" applyProtection="1">
      <alignment horizontal="left" vertical="top" wrapText="1"/>
      <protection locked="0"/>
    </xf>
    <xf numFmtId="0" fontId="39" fillId="0" borderId="0" xfId="0" applyFont="1" applyFill="1"/>
    <xf numFmtId="11" fontId="33" fillId="0" borderId="0" xfId="0" applyNumberFormat="1" applyFont="1" applyFill="1"/>
    <xf numFmtId="0" fontId="0" fillId="0" borderId="22" xfId="0" applyBorder="1" applyAlignment="1">
      <alignment horizontal="center" vertical="top"/>
    </xf>
    <xf numFmtId="0" fontId="0" fillId="0" borderId="23" xfId="0" applyBorder="1" applyAlignment="1">
      <alignment horizontal="center" vertical="top"/>
    </xf>
    <xf numFmtId="0" fontId="48" fillId="0" borderId="23" xfId="0" applyFont="1" applyBorder="1" applyAlignment="1">
      <alignment horizontal="center"/>
    </xf>
    <xf numFmtId="0" fontId="55" fillId="0" borderId="0" xfId="0" applyFont="1"/>
    <xf numFmtId="11" fontId="33" fillId="0" borderId="47" xfId="0" applyNumberFormat="1" applyFont="1" applyFill="1" applyBorder="1"/>
    <xf numFmtId="11" fontId="33" fillId="31" borderId="46" xfId="0" applyNumberFormat="1" applyFont="1" applyFill="1" applyBorder="1"/>
    <xf numFmtId="0" fontId="25" fillId="0" borderId="47" xfId="40" applyFont="1" applyFill="1" applyBorder="1" applyProtection="1">
      <protection locked="0"/>
    </xf>
    <xf numFmtId="0" fontId="50" fillId="0" borderId="45" xfId="0" applyFont="1" applyBorder="1" applyProtection="1">
      <protection locked="0"/>
    </xf>
    <xf numFmtId="0" fontId="25" fillId="0" borderId="47" xfId="40" applyFont="1" applyBorder="1" applyProtection="1">
      <protection locked="0"/>
    </xf>
    <xf numFmtId="0" fontId="25" fillId="0" borderId="28" xfId="40" applyFont="1" applyFill="1" applyBorder="1" applyAlignment="1">
      <alignment horizontal="center" wrapText="1"/>
    </xf>
    <xf numFmtId="0" fontId="25" fillId="0" borderId="1" xfId="40" applyFont="1" applyFill="1" applyBorder="1" applyAlignment="1">
      <alignment horizontal="center" wrapText="1"/>
    </xf>
    <xf numFmtId="0" fontId="25" fillId="0" borderId="48" xfId="40" applyFont="1" applyFill="1" applyBorder="1" applyAlignment="1">
      <alignment horizontal="center" wrapText="1"/>
    </xf>
    <xf numFmtId="179" fontId="33" fillId="31" borderId="46" xfId="0" applyNumberFormat="1" applyFont="1" applyFill="1" applyBorder="1" applyAlignment="1">
      <alignment horizontal="right"/>
    </xf>
    <xf numFmtId="0" fontId="6" fillId="31" borderId="49" xfId="40" applyFont="1" applyFill="1" applyBorder="1" applyAlignment="1">
      <alignment horizontal="right"/>
    </xf>
    <xf numFmtId="0" fontId="48" fillId="0" borderId="46" xfId="0" applyFont="1" applyBorder="1" applyAlignment="1">
      <alignment horizontal="center"/>
    </xf>
    <xf numFmtId="0" fontId="48" fillId="0" borderId="1" xfId="0" applyFont="1" applyBorder="1" applyAlignment="1">
      <alignment horizontal="center"/>
    </xf>
    <xf numFmtId="0" fontId="48" fillId="0" borderId="47" xfId="0" applyFont="1" applyBorder="1" applyAlignment="1">
      <alignment horizontal="center"/>
    </xf>
    <xf numFmtId="0" fontId="48" fillId="41" borderId="46" xfId="0" applyFont="1" applyFill="1" applyBorder="1" applyAlignment="1">
      <alignment horizontal="center"/>
    </xf>
    <xf numFmtId="0" fontId="53" fillId="0" borderId="53" xfId="40" applyFont="1" applyFill="1" applyBorder="1" applyAlignment="1">
      <alignment horizontal="center"/>
    </xf>
    <xf numFmtId="0" fontId="56" fillId="0" borderId="0" xfId="40" applyFont="1" applyFill="1"/>
    <xf numFmtId="0" fontId="57" fillId="0" borderId="33" xfId="40" applyFont="1" applyFill="1" applyBorder="1"/>
    <xf numFmtId="0" fontId="57" fillId="0" borderId="0" xfId="40" applyFont="1" applyFill="1" applyBorder="1"/>
    <xf numFmtId="0" fontId="6" fillId="0" borderId="0" xfId="40" applyFill="1" applyBorder="1"/>
    <xf numFmtId="2" fontId="0" fillId="0" borderId="0" xfId="0" applyNumberFormat="1"/>
    <xf numFmtId="178" fontId="26" fillId="0" borderId="0" xfId="99" applyNumberFormat="1" applyFont="1" applyFill="1" applyAlignment="1"/>
    <xf numFmtId="0" fontId="26" fillId="0" borderId="0" xfId="99" applyFont="1" applyFill="1"/>
    <xf numFmtId="49" fontId="37" fillId="37" borderId="0" xfId="68" applyNumberFormat="1" applyFill="1" applyAlignment="1" applyProtection="1">
      <alignment horizontal="left" vertical="top" wrapText="1"/>
      <protection locked="0"/>
    </xf>
    <xf numFmtId="0" fontId="17" fillId="0" borderId="0" xfId="99" applyFont="1" applyFill="1" applyAlignment="1"/>
    <xf numFmtId="0" fontId="17" fillId="0" borderId="0" xfId="99" applyFont="1" applyFill="1"/>
    <xf numFmtId="178" fontId="17" fillId="0" borderId="0" xfId="99" applyNumberFormat="1" applyFont="1" applyFill="1"/>
    <xf numFmtId="43" fontId="6" fillId="0" borderId="0" xfId="99" applyNumberFormat="1" applyFont="1"/>
    <xf numFmtId="2" fontId="58" fillId="0" borderId="0" xfId="0" applyNumberFormat="1" applyFont="1"/>
    <xf numFmtId="0" fontId="6" fillId="0" borderId="33" xfId="0" applyFont="1" applyBorder="1"/>
    <xf numFmtId="0" fontId="35" fillId="0" borderId="0" xfId="40" applyFont="1" applyFill="1" applyAlignment="1">
      <alignment horizontal="center"/>
    </xf>
    <xf numFmtId="0" fontId="33" fillId="0" borderId="33" xfId="40" applyFont="1" applyFill="1" applyBorder="1" applyAlignment="1">
      <alignment horizontal="right"/>
    </xf>
    <xf numFmtId="0" fontId="6" fillId="0" borderId="0" xfId="40" applyAlignment="1">
      <alignment horizontal="right"/>
    </xf>
    <xf numFmtId="0" fontId="6" fillId="0" borderId="14" xfId="40" applyFont="1" applyBorder="1" applyAlignment="1" applyProtection="1">
      <alignment horizontal="left"/>
      <protection locked="0"/>
    </xf>
    <xf numFmtId="0" fontId="6" fillId="0" borderId="23" xfId="40" applyFont="1" applyBorder="1" applyAlignment="1" applyProtection="1">
      <alignment horizontal="left"/>
      <protection locked="0"/>
    </xf>
    <xf numFmtId="0" fontId="6" fillId="0" borderId="28" xfId="40" applyFont="1" applyBorder="1" applyAlignment="1" applyProtection="1">
      <alignment horizontal="left"/>
      <protection locked="0"/>
    </xf>
    <xf numFmtId="0" fontId="6" fillId="0" borderId="0" xfId="40" applyNumberFormat="1" applyFont="1" applyAlignment="1">
      <alignment horizontal="left" vertical="top" wrapText="1"/>
    </xf>
    <xf numFmtId="0" fontId="33" fillId="0" borderId="33" xfId="0" applyFont="1" applyBorder="1" applyAlignment="1">
      <alignment horizontal="right"/>
    </xf>
    <xf numFmtId="0" fontId="6" fillId="0" borderId="33" xfId="0" applyFont="1" applyBorder="1" applyAlignment="1">
      <alignment horizontal="right"/>
    </xf>
    <xf numFmtId="0" fontId="0" fillId="0" borderId="0" xfId="0" quotePrefix="1"/>
    <xf numFmtId="0" fontId="33" fillId="0" borderId="0" xfId="40" applyFont="1" applyFill="1" applyBorder="1" applyAlignment="1">
      <alignment horizontal="left"/>
    </xf>
    <xf numFmtId="0" fontId="33" fillId="0" borderId="0" xfId="40" applyFont="1" applyFill="1" applyBorder="1" applyAlignment="1">
      <alignment horizontal="center" vertical="center" wrapText="1"/>
    </xf>
    <xf numFmtId="182" fontId="6" fillId="0" borderId="0" xfId="43" applyNumberFormat="1" applyFont="1" applyAlignment="1"/>
    <xf numFmtId="182" fontId="0" fillId="0" borderId="0" xfId="0" applyNumberFormat="1"/>
    <xf numFmtId="178" fontId="17" fillId="0" borderId="0" xfId="99" applyNumberFormat="1" applyFont="1" applyFill="1" applyAlignment="1"/>
    <xf numFmtId="179" fontId="52" fillId="0" borderId="0" xfId="99" applyNumberFormat="1" applyFill="1" applyAlignment="1"/>
    <xf numFmtId="0" fontId="6" fillId="0" borderId="0" xfId="99" applyFont="1" applyFill="1"/>
    <xf numFmtId="178" fontId="6" fillId="0" borderId="0" xfId="99" applyNumberFormat="1" applyFont="1" applyFill="1" applyAlignment="1"/>
    <xf numFmtId="1" fontId="52" fillId="0" borderId="0" xfId="99" applyNumberFormat="1" applyFill="1" applyAlignment="1"/>
    <xf numFmtId="0" fontId="6" fillId="0" borderId="23" xfId="40" applyFont="1" applyBorder="1" applyAlignment="1" applyProtection="1">
      <alignment horizontal="left"/>
      <protection locked="0"/>
    </xf>
    <xf numFmtId="0" fontId="6" fillId="0" borderId="28" xfId="40" applyFont="1" applyBorder="1" applyAlignment="1" applyProtection="1">
      <alignment horizontal="left"/>
      <protection locked="0"/>
    </xf>
    <xf numFmtId="0" fontId="6" fillId="31" borderId="0" xfId="40" applyFont="1" applyFill="1" applyBorder="1"/>
    <xf numFmtId="0" fontId="17" fillId="0" borderId="0" xfId="40" applyFont="1" applyFill="1" applyBorder="1" applyAlignment="1">
      <alignment horizontal="left"/>
    </xf>
    <xf numFmtId="0" fontId="6" fillId="0" borderId="0" xfId="40" applyFont="1" applyFill="1" applyAlignment="1">
      <alignment horizontal="left"/>
    </xf>
    <xf numFmtId="0" fontId="17" fillId="0" borderId="22" xfId="40" applyFont="1" applyFill="1" applyBorder="1" applyAlignment="1">
      <alignment horizontal="left"/>
    </xf>
    <xf numFmtId="0" fontId="25" fillId="0" borderId="0" xfId="40" applyFont="1" applyFill="1" applyBorder="1" applyAlignment="1">
      <alignment horizontal="center" vertical="center" wrapText="1"/>
    </xf>
    <xf numFmtId="0" fontId="6" fillId="0" borderId="0" xfId="0" applyFont="1" applyFill="1"/>
    <xf numFmtId="0" fontId="17" fillId="0" borderId="0" xfId="0" applyFont="1" applyAlignment="1">
      <alignment horizontal="center"/>
    </xf>
    <xf numFmtId="0" fontId="6" fillId="0" borderId="0" xfId="0" applyFont="1" applyAlignment="1">
      <alignment horizontal="left"/>
    </xf>
    <xf numFmtId="11" fontId="33" fillId="0" borderId="0" xfId="40" applyNumberFormat="1" applyFont="1" applyFill="1" applyBorder="1" applyAlignment="1">
      <alignment horizontal="center" vertical="center" wrapText="1"/>
    </xf>
    <xf numFmtId="11" fontId="6" fillId="0" borderId="0" xfId="40" applyNumberFormat="1" applyFont="1" applyFill="1" applyBorder="1" applyAlignment="1">
      <alignment horizontal="center" vertical="center" wrapText="1"/>
    </xf>
    <xf numFmtId="11" fontId="39" fillId="0" borderId="0" xfId="40" applyNumberFormat="1" applyFont="1" applyFill="1" applyBorder="1" applyAlignment="1">
      <alignment horizontal="center" vertical="center" wrapText="1"/>
    </xf>
    <xf numFmtId="11" fontId="39" fillId="0" borderId="0" xfId="0" applyNumberFormat="1" applyFont="1" applyFill="1"/>
    <xf numFmtId="0" fontId="39" fillId="0" borderId="33" xfId="0" applyFont="1" applyBorder="1"/>
    <xf numFmtId="0" fontId="39" fillId="0" borderId="33" xfId="0" applyFont="1" applyBorder="1" applyAlignment="1">
      <alignment horizontal="right"/>
    </xf>
    <xf numFmtId="11" fontId="17" fillId="31" borderId="0" xfId="40" applyNumberFormat="1" applyFont="1" applyFill="1" applyBorder="1" applyAlignment="1">
      <alignment horizontal="center" vertical="center" wrapText="1"/>
    </xf>
    <xf numFmtId="0" fontId="0" fillId="0" borderId="0" xfId="0" applyFill="1"/>
    <xf numFmtId="2" fontId="0" fillId="0" borderId="0" xfId="0" applyNumberFormat="1" applyFill="1"/>
    <xf numFmtId="0" fontId="25" fillId="0" borderId="0" xfId="40" applyFont="1" applyFill="1" applyBorder="1" applyAlignment="1">
      <alignment horizontal="left"/>
    </xf>
    <xf numFmtId="11" fontId="39" fillId="31" borderId="0" xfId="40" applyNumberFormat="1" applyFont="1" applyFill="1" applyBorder="1" applyAlignment="1">
      <alignment horizontal="center" vertical="center" wrapText="1"/>
    </xf>
    <xf numFmtId="1" fontId="6" fillId="0" borderId="0" xfId="99" applyNumberFormat="1" applyFont="1" applyFill="1" applyAlignment="1"/>
    <xf numFmtId="11" fontId="6" fillId="0" borderId="0" xfId="99" applyNumberFormat="1" applyFont="1" applyFill="1" applyAlignment="1"/>
    <xf numFmtId="0" fontId="6" fillId="0" borderId="0" xfId="99" applyFont="1" applyFill="1" applyAlignment="1"/>
    <xf numFmtId="0" fontId="52" fillId="0" borderId="0" xfId="99" applyFill="1" applyAlignment="1"/>
    <xf numFmtId="178" fontId="52" fillId="0" borderId="0" xfId="99" applyNumberFormat="1" applyFill="1" applyAlignment="1"/>
    <xf numFmtId="179" fontId="52" fillId="0" borderId="0" xfId="99" applyNumberFormat="1" applyFill="1"/>
    <xf numFmtId="1" fontId="52" fillId="0" borderId="0" xfId="99" applyNumberFormat="1" applyFill="1"/>
    <xf numFmtId="178" fontId="52" fillId="0" borderId="0" xfId="99" applyNumberFormat="1" applyFill="1"/>
    <xf numFmtId="181" fontId="6" fillId="0" borderId="0" xfId="99" applyNumberFormat="1" applyFont="1" applyFill="1"/>
    <xf numFmtId="43" fontId="52" fillId="0" borderId="0" xfId="99" applyNumberFormat="1" applyFill="1"/>
    <xf numFmtId="43" fontId="6" fillId="0" borderId="0" xfId="99" applyNumberFormat="1" applyFont="1" applyFill="1"/>
    <xf numFmtId="178" fontId="6" fillId="0" borderId="0" xfId="99" applyNumberFormat="1" applyFont="1" applyFill="1"/>
    <xf numFmtId="178" fontId="25" fillId="0" borderId="0" xfId="99" applyNumberFormat="1" applyFont="1" applyFill="1" applyAlignment="1"/>
    <xf numFmtId="0" fontId="25" fillId="0" borderId="0" xfId="99" applyFont="1" applyFill="1"/>
    <xf numFmtId="0" fontId="39" fillId="0" borderId="0" xfId="0" applyFont="1" applyFill="1" applyAlignment="1">
      <alignment horizontal="center"/>
    </xf>
    <xf numFmtId="3" fontId="39" fillId="0" borderId="0" xfId="0" applyNumberFormat="1" applyFont="1" applyFill="1" applyAlignment="1">
      <alignment horizontal="center"/>
    </xf>
    <xf numFmtId="0" fontId="17" fillId="31" borderId="0" xfId="40" applyFont="1" applyFill="1"/>
    <xf numFmtId="0" fontId="48" fillId="0" borderId="0" xfId="0" applyFont="1"/>
    <xf numFmtId="0" fontId="48" fillId="31" borderId="0" xfId="0" applyFont="1" applyFill="1"/>
    <xf numFmtId="0" fontId="48" fillId="0" borderId="0" xfId="0" applyFont="1" applyFill="1"/>
    <xf numFmtId="0" fontId="17" fillId="31" borderId="0" xfId="40" applyFont="1" applyFill="1" applyAlignment="1"/>
    <xf numFmtId="0" fontId="6" fillId="0" borderId="23" xfId="40" applyFont="1" applyBorder="1" applyAlignment="1" applyProtection="1">
      <alignment horizontal="left"/>
      <protection locked="0"/>
    </xf>
    <xf numFmtId="0" fontId="6" fillId="0" borderId="28" xfId="40" applyFont="1" applyBorder="1" applyAlignment="1" applyProtection="1">
      <alignment horizontal="left"/>
      <protection locked="0"/>
    </xf>
    <xf numFmtId="0" fontId="25" fillId="0" borderId="0" xfId="40" applyFont="1" applyFill="1" applyBorder="1" applyProtection="1">
      <protection locked="0"/>
    </xf>
    <xf numFmtId="11" fontId="33" fillId="31" borderId="0" xfId="0" applyNumberFormat="1" applyFont="1" applyFill="1" applyBorder="1"/>
    <xf numFmtId="11" fontId="33" fillId="0" borderId="0" xfId="0" applyNumberFormat="1" applyFont="1" applyFill="1" applyBorder="1"/>
    <xf numFmtId="0" fontId="50" fillId="0" borderId="0" xfId="0" applyFont="1" applyBorder="1" applyProtection="1">
      <protection locked="0"/>
    </xf>
    <xf numFmtId="0" fontId="52" fillId="0" borderId="22" xfId="99" applyBorder="1" applyAlignment="1">
      <alignment horizontal="right"/>
    </xf>
    <xf numFmtId="0" fontId="52" fillId="0" borderId="22" xfId="99" applyBorder="1"/>
    <xf numFmtId="0" fontId="59" fillId="0" borderId="0" xfId="0" applyFont="1"/>
    <xf numFmtId="11" fontId="6" fillId="27" borderId="0" xfId="40" applyNumberFormat="1" applyFill="1"/>
    <xf numFmtId="14" fontId="17" fillId="27" borderId="0" xfId="40" applyNumberFormat="1" applyFont="1" applyFill="1" applyAlignment="1">
      <alignment horizontal="left"/>
    </xf>
    <xf numFmtId="0" fontId="6" fillId="38" borderId="0" xfId="40" applyFont="1" applyFill="1" applyAlignment="1">
      <alignment horizontal="left" vertical="top" wrapText="1"/>
    </xf>
    <xf numFmtId="0" fontId="6" fillId="0" borderId="0" xfId="40" applyFont="1" applyAlignment="1">
      <alignment horizontal="left" vertical="top" wrapText="1"/>
    </xf>
    <xf numFmtId="0" fontId="6" fillId="42" borderId="0" xfId="40" applyFont="1" applyFill="1" applyAlignment="1">
      <alignment horizontal="left" vertical="top" wrapText="1"/>
    </xf>
    <xf numFmtId="0" fontId="17" fillId="42" borderId="0" xfId="40" applyFont="1" applyFill="1" applyAlignment="1" applyProtection="1">
      <alignment horizontal="left" vertical="top" wrapText="1"/>
      <protection hidden="1"/>
    </xf>
    <xf numFmtId="0" fontId="6" fillId="42" borderId="0" xfId="40" applyFont="1" applyFill="1" applyAlignment="1" applyProtection="1">
      <alignment horizontal="left" vertical="top" wrapText="1"/>
      <protection locked="0"/>
    </xf>
    <xf numFmtId="49" fontId="6" fillId="42" borderId="0" xfId="40" applyNumberFormat="1" applyFont="1" applyFill="1" applyAlignment="1" applyProtection="1">
      <alignment horizontal="left" vertical="top" wrapText="1"/>
      <protection locked="0"/>
    </xf>
    <xf numFmtId="0" fontId="6" fillId="42" borderId="0" xfId="40" applyFont="1" applyFill="1" applyAlignment="1">
      <alignment horizontal="left" vertical="top"/>
    </xf>
    <xf numFmtId="1" fontId="6" fillId="0" borderId="1" xfId="40" applyNumberFormat="1" applyFont="1" applyBorder="1"/>
    <xf numFmtId="1" fontId="6" fillId="0" borderId="1" xfId="40" applyNumberFormat="1" applyBorder="1"/>
    <xf numFmtId="0" fontId="37" fillId="0" borderId="0" xfId="68" applyAlignment="1" applyProtection="1">
      <alignment horizontal="left" vertical="top"/>
    </xf>
    <xf numFmtId="37" fontId="33" fillId="0" borderId="0" xfId="67" applyNumberFormat="1" applyFont="1" applyFill="1"/>
    <xf numFmtId="0" fontId="6" fillId="42" borderId="0" xfId="83" applyFill="1" applyAlignment="1" applyProtection="1">
      <alignment horizontal="left" vertical="top" wrapText="1"/>
      <protection locked="0"/>
    </xf>
    <xf numFmtId="0" fontId="6" fillId="42" borderId="0" xfId="40" applyFill="1" applyAlignment="1" applyProtection="1">
      <alignment horizontal="left" vertical="top" wrapText="1"/>
      <protection locked="0"/>
    </xf>
    <xf numFmtId="49" fontId="6" fillId="42" borderId="0" xfId="83" applyNumberFormat="1" applyFill="1" applyAlignment="1" applyProtection="1">
      <alignment horizontal="left" vertical="top" wrapText="1"/>
      <protection locked="0"/>
    </xf>
    <xf numFmtId="0" fontId="6" fillId="42" borderId="0" xfId="40" applyFill="1" applyAlignment="1" applyProtection="1">
      <alignment vertical="top" wrapText="1"/>
      <protection locked="0"/>
    </xf>
    <xf numFmtId="49" fontId="6" fillId="42" borderId="0" xfId="40" applyNumberFormat="1" applyFill="1" applyAlignment="1" applyProtection="1">
      <alignment horizontal="left" vertical="top" wrapText="1"/>
      <protection locked="0"/>
    </xf>
    <xf numFmtId="0" fontId="6" fillId="42" borderId="0" xfId="83" applyFont="1" applyFill="1" applyAlignment="1" applyProtection="1">
      <alignment horizontal="left" vertical="top" wrapText="1"/>
      <protection locked="0"/>
    </xf>
    <xf numFmtId="2" fontId="0" fillId="31" borderId="0" xfId="0" applyNumberFormat="1" applyFill="1"/>
    <xf numFmtId="0" fontId="6" fillId="0" borderId="1" xfId="40" applyBorder="1" applyAlignment="1" applyProtection="1">
      <alignment horizontal="center"/>
      <protection locked="0"/>
    </xf>
    <xf numFmtId="0" fontId="6" fillId="0" borderId="23" xfId="40" applyFont="1" applyBorder="1" applyAlignment="1" applyProtection="1">
      <alignment horizontal="left"/>
      <protection locked="0"/>
    </xf>
    <xf numFmtId="0" fontId="6" fillId="0" borderId="28" xfId="40" applyFont="1" applyBorder="1" applyAlignment="1" applyProtection="1">
      <alignment horizontal="left"/>
      <protection locked="0"/>
    </xf>
    <xf numFmtId="0" fontId="50" fillId="0" borderId="0" xfId="40" applyFont="1" applyFill="1" applyBorder="1" applyAlignment="1">
      <alignment horizontal="center" vertical="center" wrapText="1"/>
    </xf>
    <xf numFmtId="0" fontId="26" fillId="0" borderId="0" xfId="99" applyFont="1"/>
    <xf numFmtId="11" fontId="52" fillId="0" borderId="0" xfId="99" applyNumberFormat="1"/>
    <xf numFmtId="11" fontId="39" fillId="0" borderId="0" xfId="40" applyNumberFormat="1" applyFont="1" applyFill="1" applyBorder="1" applyAlignment="1">
      <alignment horizontal="right" vertical="center" wrapText="1"/>
    </xf>
    <xf numFmtId="11" fontId="33" fillId="0" borderId="0" xfId="0" applyNumberFormat="1" applyFont="1"/>
    <xf numFmtId="11" fontId="6" fillId="0" borderId="0" xfId="0" applyNumberFormat="1" applyFont="1"/>
    <xf numFmtId="11" fontId="39" fillId="0" borderId="0" xfId="0" applyNumberFormat="1" applyFont="1"/>
    <xf numFmtId="11" fontId="39" fillId="31" borderId="0" xfId="0" applyNumberFormat="1" applyFont="1" applyFill="1"/>
    <xf numFmtId="0" fontId="37" fillId="0" borderId="0" xfId="68" applyAlignment="1" applyProtection="1">
      <alignment horizontal="left" vertical="top" wrapText="1"/>
    </xf>
    <xf numFmtId="3" fontId="6" fillId="0" borderId="0" xfId="0" applyNumberFormat="1" applyFont="1" applyFill="1" applyAlignment="1">
      <alignment horizontal="center"/>
    </xf>
    <xf numFmtId="11" fontId="6" fillId="0" borderId="0" xfId="0" applyNumberFormat="1" applyFont="1" applyFill="1"/>
    <xf numFmtId="0" fontId="0" fillId="30" borderId="0" xfId="0" applyFill="1"/>
    <xf numFmtId="0" fontId="6" fillId="0" borderId="14" xfId="40" applyFont="1" applyBorder="1" applyAlignment="1" applyProtection="1">
      <alignment horizontal="left"/>
      <protection locked="0"/>
    </xf>
    <xf numFmtId="0" fontId="6" fillId="0" borderId="23" xfId="40" applyFont="1" applyBorder="1" applyAlignment="1" applyProtection="1">
      <alignment horizontal="left"/>
      <protection locked="0"/>
    </xf>
    <xf numFmtId="0" fontId="6" fillId="0" borderId="28" xfId="40" applyFont="1" applyBorder="1" applyAlignment="1" applyProtection="1">
      <alignment horizontal="left"/>
      <protection locked="0"/>
    </xf>
    <xf numFmtId="0" fontId="17" fillId="0" borderId="0" xfId="0" applyFont="1"/>
    <xf numFmtId="11" fontId="17" fillId="31" borderId="0" xfId="0" applyNumberFormat="1" applyFont="1" applyFill="1" applyAlignment="1">
      <alignment horizontal="center" vertical="center"/>
    </xf>
    <xf numFmtId="0" fontId="17" fillId="0" borderId="0" xfId="0" applyFont="1" applyFill="1"/>
    <xf numFmtId="11" fontId="17" fillId="0" borderId="0" xfId="0" applyNumberFormat="1" applyFont="1"/>
    <xf numFmtId="0" fontId="60" fillId="0" borderId="0" xfId="40" applyFont="1" applyFill="1" applyAlignment="1">
      <alignment horizontal="center"/>
    </xf>
    <xf numFmtId="0" fontId="6" fillId="0" borderId="0" xfId="40" applyFont="1" applyFill="1" applyBorder="1" applyAlignment="1">
      <alignment horizontal="left"/>
    </xf>
    <xf numFmtId="0" fontId="6" fillId="0" borderId="0" xfId="0" applyFont="1" applyAlignment="1">
      <alignment horizontal="right"/>
    </xf>
    <xf numFmtId="0" fontId="58" fillId="0" borderId="0" xfId="0" applyFont="1"/>
    <xf numFmtId="11" fontId="6" fillId="31" borderId="46" xfId="0" applyNumberFormat="1" applyFont="1" applyFill="1" applyBorder="1"/>
    <xf numFmtId="11" fontId="6" fillId="0" borderId="47" xfId="0" applyNumberFormat="1" applyFont="1" applyFill="1" applyBorder="1"/>
    <xf numFmtId="0" fontId="25" fillId="0" borderId="45" xfId="0" applyFont="1" applyBorder="1" applyProtection="1">
      <protection locked="0"/>
    </xf>
    <xf numFmtId="175" fontId="6" fillId="0" borderId="1" xfId="0" applyNumberFormat="1" applyFont="1" applyBorder="1" applyAlignment="1" applyProtection="1">
      <alignment vertical="top"/>
      <protection locked="0"/>
    </xf>
    <xf numFmtId="11" fontId="6" fillId="0" borderId="1" xfId="0" applyNumberFormat="1" applyFont="1" applyBorder="1" applyAlignment="1" applyProtection="1">
      <alignment vertical="top"/>
      <protection locked="0"/>
    </xf>
    <xf numFmtId="11" fontId="6" fillId="0" borderId="1" xfId="0" applyNumberFormat="1" applyFont="1" applyBorder="1" applyProtection="1">
      <protection locked="0"/>
    </xf>
    <xf numFmtId="11" fontId="6" fillId="0" borderId="1" xfId="0" applyNumberFormat="1" applyFont="1" applyFill="1" applyBorder="1" applyProtection="1">
      <protection locked="0"/>
    </xf>
    <xf numFmtId="0" fontId="6" fillId="0" borderId="1" xfId="0" applyFont="1" applyBorder="1" applyAlignment="1" applyProtection="1">
      <alignment horizontal="left"/>
      <protection locked="0"/>
    </xf>
    <xf numFmtId="0" fontId="6" fillId="0" borderId="1" xfId="0" applyFont="1" applyBorder="1" applyAlignment="1" applyProtection="1">
      <alignment horizontal="right"/>
      <protection locked="0"/>
    </xf>
    <xf numFmtId="0" fontId="6" fillId="0" borderId="1" xfId="0" applyFont="1" applyBorder="1" applyProtection="1">
      <protection locked="0"/>
    </xf>
    <xf numFmtId="0" fontId="6" fillId="0" borderId="1" xfId="0" applyFont="1" applyFill="1" applyBorder="1" applyProtection="1">
      <protection locked="0"/>
    </xf>
    <xf numFmtId="0" fontId="6" fillId="43" borderId="1" xfId="40" applyFont="1" applyFill="1" applyBorder="1" applyProtection="1">
      <protection locked="0"/>
    </xf>
    <xf numFmtId="0" fontId="6" fillId="0" borderId="1" xfId="0" applyFont="1" applyBorder="1" applyAlignment="1">
      <alignment horizontal="left" vertical="top"/>
    </xf>
    <xf numFmtId="1" fontId="6" fillId="0" borderId="1" xfId="40" applyNumberFormat="1" applyFont="1" applyBorder="1" applyAlignment="1" applyProtection="1">
      <alignment vertical="top"/>
      <protection locked="0"/>
    </xf>
    <xf numFmtId="0" fontId="6" fillId="0" borderId="1" xfId="0" applyFont="1" applyBorder="1" applyAlignment="1" applyProtection="1">
      <alignment vertical="top"/>
      <protection locked="0"/>
    </xf>
    <xf numFmtId="11" fontId="6" fillId="35" borderId="1" xfId="67" applyNumberFormat="1" applyFont="1" applyFill="1" applyBorder="1" applyAlignment="1" applyProtection="1">
      <alignment vertical="top"/>
      <protection hidden="1"/>
    </xf>
    <xf numFmtId="0" fontId="6" fillId="35" borderId="1" xfId="0" applyFont="1" applyFill="1" applyBorder="1" applyAlignment="1" applyProtection="1">
      <alignment vertical="top"/>
      <protection hidden="1"/>
    </xf>
    <xf numFmtId="0" fontId="6" fillId="0" borderId="1" xfId="40" applyFont="1" applyBorder="1" applyAlignment="1" applyProtection="1">
      <alignment horizontal="center" vertical="top"/>
      <protection locked="0"/>
    </xf>
    <xf numFmtId="0" fontId="6" fillId="30" borderId="23" xfId="0" applyFont="1" applyFill="1" applyBorder="1" applyAlignment="1">
      <alignment horizontal="left" vertical="center" wrapText="1"/>
    </xf>
    <xf numFmtId="0" fontId="6" fillId="30" borderId="24" xfId="0" applyFont="1" applyFill="1" applyBorder="1" applyAlignment="1">
      <alignment horizontal="left" vertical="center" wrapText="1"/>
    </xf>
    <xf numFmtId="0" fontId="6" fillId="27" borderId="0" xfId="40" applyFont="1" applyFill="1" applyAlignment="1">
      <alignment horizontal="left" wrapText="1"/>
    </xf>
    <xf numFmtId="0" fontId="6" fillId="30" borderId="26" xfId="40" applyFont="1" applyFill="1" applyBorder="1" applyAlignment="1">
      <alignment horizontal="left" vertical="center" wrapText="1"/>
    </xf>
    <xf numFmtId="0" fontId="6" fillId="30" borderId="27" xfId="40" applyFont="1" applyFill="1" applyBorder="1" applyAlignment="1">
      <alignment horizontal="left" vertical="center" wrapText="1"/>
    </xf>
    <xf numFmtId="0" fontId="6" fillId="30" borderId="23" xfId="40" applyFont="1" applyFill="1" applyBorder="1" applyAlignment="1">
      <alignment horizontal="left" vertical="center" wrapText="1"/>
    </xf>
    <xf numFmtId="0" fontId="6" fillId="30" borderId="24" xfId="40" applyFont="1" applyFill="1" applyBorder="1" applyAlignment="1">
      <alignment horizontal="left" vertical="center" wrapText="1"/>
    </xf>
    <xf numFmtId="0" fontId="24" fillId="27" borderId="0" xfId="40" applyFont="1" applyFill="1" applyAlignment="1">
      <alignment horizontal="center"/>
    </xf>
    <xf numFmtId="0" fontId="6" fillId="28" borderId="15" xfId="40" applyFont="1" applyFill="1" applyBorder="1" applyAlignment="1">
      <alignment horizontal="left" vertical="center" wrapText="1"/>
    </xf>
    <xf numFmtId="0" fontId="6" fillId="28" borderId="16" xfId="40" applyFont="1" applyFill="1" applyBorder="1" applyAlignment="1">
      <alignment horizontal="left" vertical="center" wrapText="1"/>
    </xf>
    <xf numFmtId="0" fontId="6" fillId="28" borderId="17" xfId="40" applyFont="1" applyFill="1" applyBorder="1" applyAlignment="1">
      <alignment horizontal="left" vertical="center" wrapText="1"/>
    </xf>
    <xf numFmtId="0" fontId="17" fillId="0" borderId="42" xfId="0" applyFont="1" applyFill="1" applyBorder="1" applyAlignment="1">
      <alignment horizontal="center" vertical="center" textRotation="45"/>
    </xf>
    <xf numFmtId="0" fontId="17" fillId="0" borderId="21" xfId="0" applyFont="1" applyFill="1" applyBorder="1" applyAlignment="1">
      <alignment horizontal="center" vertical="center" textRotation="45"/>
    </xf>
    <xf numFmtId="0" fontId="17" fillId="0" borderId="25" xfId="0" applyFont="1" applyFill="1" applyBorder="1" applyAlignment="1">
      <alignment horizontal="center" vertical="center" textRotation="45"/>
    </xf>
    <xf numFmtId="0" fontId="17" fillId="29" borderId="18" xfId="0" applyFont="1" applyFill="1" applyBorder="1" applyAlignment="1">
      <alignment horizontal="center" textRotation="45"/>
    </xf>
    <xf numFmtId="0" fontId="17" fillId="29" borderId="21" xfId="0" applyFont="1" applyFill="1" applyBorder="1" applyAlignment="1">
      <alignment horizontal="center" textRotation="45"/>
    </xf>
    <xf numFmtId="0" fontId="17" fillId="29" borderId="41" xfId="0" applyFont="1" applyFill="1" applyBorder="1" applyAlignment="1">
      <alignment horizontal="center" textRotation="45"/>
    </xf>
    <xf numFmtId="0" fontId="6" fillId="29" borderId="19" xfId="40" applyFont="1" applyFill="1" applyBorder="1" applyAlignment="1">
      <alignment horizontal="left" vertical="center" wrapText="1"/>
    </xf>
    <xf numFmtId="0" fontId="6" fillId="29" borderId="20" xfId="40" applyFont="1" applyFill="1" applyBorder="1" applyAlignment="1">
      <alignment horizontal="left" vertical="center" wrapText="1"/>
    </xf>
    <xf numFmtId="0" fontId="6" fillId="29" borderId="23" xfId="40" applyFont="1" applyFill="1" applyBorder="1" applyAlignment="1">
      <alignment horizontal="left" vertical="center" wrapText="1"/>
    </xf>
    <xf numFmtId="0" fontId="6" fillId="29" borderId="24" xfId="40" applyFont="1" applyFill="1" applyBorder="1" applyAlignment="1">
      <alignment horizontal="left" vertical="center" wrapText="1"/>
    </xf>
    <xf numFmtId="0" fontId="6" fillId="0" borderId="14" xfId="40" applyFont="1" applyFill="1" applyBorder="1" applyAlignment="1" applyProtection="1">
      <alignment horizontal="left" vertical="top" wrapText="1"/>
      <protection locked="0"/>
    </xf>
    <xf numFmtId="0" fontId="6" fillId="0" borderId="23" xfId="40" applyFont="1" applyFill="1" applyBorder="1" applyAlignment="1" applyProtection="1">
      <alignment horizontal="left" vertical="top" wrapText="1"/>
      <protection locked="0"/>
    </xf>
    <xf numFmtId="0" fontId="6" fillId="0" borderId="28" xfId="40" applyFont="1" applyFill="1" applyBorder="1" applyAlignment="1" applyProtection="1">
      <alignment horizontal="left" vertical="top" wrapText="1"/>
      <protection locked="0"/>
    </xf>
    <xf numFmtId="0" fontId="6" fillId="34" borderId="1" xfId="40" applyFill="1" applyBorder="1" applyAlignment="1">
      <alignment horizontal="center" vertical="top" wrapText="1"/>
    </xf>
    <xf numFmtId="0" fontId="6" fillId="0" borderId="1" xfId="40" applyFont="1" applyFill="1" applyBorder="1" applyAlignment="1" applyProtection="1">
      <alignment horizontal="left" vertical="top" wrapText="1"/>
      <protection locked="0"/>
    </xf>
    <xf numFmtId="0" fontId="17" fillId="28" borderId="1" xfId="40" applyFont="1" applyFill="1" applyBorder="1" applyAlignment="1">
      <alignment horizontal="center"/>
    </xf>
    <xf numFmtId="0" fontId="28" fillId="0" borderId="15" xfId="40" applyFont="1" applyBorder="1" applyAlignment="1">
      <alignment horizontal="center"/>
    </xf>
    <xf numFmtId="0" fontId="28" fillId="0" borderId="16" xfId="40" applyFont="1" applyBorder="1" applyAlignment="1">
      <alignment horizontal="center"/>
    </xf>
    <xf numFmtId="0" fontId="28" fillId="0" borderId="17" xfId="40" applyFont="1" applyBorder="1" applyAlignment="1">
      <alignment horizontal="center"/>
    </xf>
    <xf numFmtId="0" fontId="17" fillId="28" borderId="14" xfId="40" applyFont="1" applyFill="1" applyBorder="1" applyAlignment="1">
      <alignment horizontal="left"/>
    </xf>
    <xf numFmtId="0" fontId="17" fillId="28" borderId="28" xfId="40" applyFont="1" applyFill="1" applyBorder="1" applyAlignment="1">
      <alignment horizontal="left"/>
    </xf>
    <xf numFmtId="0" fontId="6" fillId="0" borderId="14" xfId="40" applyFont="1" applyBorder="1" applyAlignment="1" applyProtection="1">
      <alignment horizontal="left"/>
      <protection locked="0"/>
    </xf>
    <xf numFmtId="0" fontId="6" fillId="0" borderId="28" xfId="40" applyBorder="1" applyAlignment="1" applyProtection="1">
      <alignment horizontal="left"/>
      <protection locked="0"/>
    </xf>
    <xf numFmtId="0" fontId="17" fillId="28" borderId="1" xfId="40" applyFont="1" applyFill="1" applyBorder="1" applyAlignment="1">
      <alignment horizontal="left"/>
    </xf>
    <xf numFmtId="0" fontId="6" fillId="0" borderId="1" xfId="40" applyBorder="1" applyAlignment="1" applyProtection="1">
      <alignment horizontal="left"/>
      <protection locked="0"/>
    </xf>
    <xf numFmtId="0" fontId="30" fillId="33" borderId="33" xfId="0" applyFont="1" applyFill="1" applyBorder="1" applyAlignment="1">
      <alignment horizontal="left" vertical="top" wrapText="1" readingOrder="1"/>
    </xf>
    <xf numFmtId="0" fontId="30" fillId="33" borderId="0" xfId="0" applyFont="1" applyFill="1" applyBorder="1" applyAlignment="1">
      <alignment horizontal="left" vertical="top" wrapText="1" readingOrder="1"/>
    </xf>
    <xf numFmtId="0" fontId="30" fillId="33" borderId="34" xfId="0" applyFont="1" applyFill="1" applyBorder="1" applyAlignment="1">
      <alignment horizontal="left" vertical="top" wrapText="1" readingOrder="1"/>
    </xf>
    <xf numFmtId="0" fontId="17" fillId="28" borderId="14" xfId="40" applyFont="1" applyFill="1" applyBorder="1" applyAlignment="1">
      <alignment horizontal="left" vertical="top"/>
    </xf>
    <xf numFmtId="0" fontId="17" fillId="28" borderId="28" xfId="40" applyFont="1" applyFill="1" applyBorder="1" applyAlignment="1">
      <alignment horizontal="left" vertical="top"/>
    </xf>
    <xf numFmtId="0" fontId="6" fillId="0" borderId="14" xfId="40" applyFont="1" applyBorder="1" applyAlignment="1" applyProtection="1">
      <alignment horizontal="left" vertical="top" wrapText="1"/>
      <protection locked="0"/>
    </xf>
    <xf numFmtId="0" fontId="6" fillId="0" borderId="23" xfId="40" applyFont="1" applyBorder="1" applyAlignment="1" applyProtection="1">
      <alignment horizontal="left" vertical="top" wrapText="1"/>
      <protection locked="0"/>
    </xf>
    <xf numFmtId="0" fontId="6" fillId="0" borderId="28" xfId="40" applyFont="1" applyBorder="1" applyAlignment="1" applyProtection="1">
      <alignment horizontal="left" vertical="top" wrapText="1"/>
      <protection locked="0"/>
    </xf>
    <xf numFmtId="0" fontId="6" fillId="0" borderId="14" xfId="40" applyBorder="1" applyAlignment="1" applyProtection="1">
      <alignment horizontal="left"/>
      <protection locked="0"/>
    </xf>
    <xf numFmtId="0" fontId="6" fillId="32" borderId="1" xfId="40" applyFont="1" applyFill="1" applyBorder="1" applyAlignment="1" applyProtection="1">
      <alignment horizontal="left"/>
      <protection locked="0"/>
    </xf>
    <xf numFmtId="0" fontId="17" fillId="28" borderId="14" xfId="40" applyFont="1" applyFill="1" applyBorder="1" applyAlignment="1">
      <alignment horizontal="left" vertical="center"/>
    </xf>
    <xf numFmtId="0" fontId="17" fillId="28" borderId="28" xfId="40" applyFont="1" applyFill="1" applyBorder="1" applyAlignment="1">
      <alignment horizontal="left" vertical="center"/>
    </xf>
    <xf numFmtId="0" fontId="6" fillId="0" borderId="1" xfId="40" applyBorder="1" applyAlignment="1" applyProtection="1">
      <alignment horizontal="center"/>
      <protection locked="0"/>
    </xf>
    <xf numFmtId="0" fontId="17" fillId="28" borderId="14" xfId="40" applyFont="1" applyFill="1" applyBorder="1" applyAlignment="1">
      <alignment horizontal="center"/>
    </xf>
    <xf numFmtId="0" fontId="17" fillId="28" borderId="23" xfId="40" applyFont="1" applyFill="1" applyBorder="1" applyAlignment="1">
      <alignment horizontal="center"/>
    </xf>
    <xf numFmtId="0" fontId="17" fillId="28" borderId="28" xfId="40" applyFont="1" applyFill="1" applyBorder="1" applyAlignment="1">
      <alignment horizontal="center"/>
    </xf>
    <xf numFmtId="0" fontId="6" fillId="0" borderId="23" xfId="40" applyFont="1" applyBorder="1" applyAlignment="1" applyProtection="1">
      <alignment horizontal="left"/>
      <protection locked="0"/>
    </xf>
    <xf numFmtId="0" fontId="6" fillId="0" borderId="28" xfId="40" applyFont="1" applyBorder="1" applyAlignment="1" applyProtection="1">
      <alignment horizontal="left"/>
      <protection locked="0"/>
    </xf>
    <xf numFmtId="0" fontId="54" fillId="0" borderId="23" xfId="0" applyFont="1" applyBorder="1" applyAlignment="1">
      <alignment horizontal="left" vertical="top" wrapText="1"/>
    </xf>
    <xf numFmtId="0" fontId="35" fillId="0" borderId="0" xfId="40" applyFont="1" applyFill="1" applyAlignment="1">
      <alignment horizontal="center"/>
    </xf>
    <xf numFmtId="0" fontId="17" fillId="0" borderId="54" xfId="40" applyFont="1" applyFill="1" applyBorder="1" applyAlignment="1">
      <alignment horizontal="center"/>
    </xf>
    <xf numFmtId="0" fontId="17" fillId="0" borderId="47" xfId="40" applyFont="1" applyFill="1" applyBorder="1" applyAlignment="1">
      <alignment horizontal="center"/>
    </xf>
    <xf numFmtId="0" fontId="48" fillId="0" borderId="18" xfId="0" applyFont="1" applyBorder="1" applyAlignment="1">
      <alignment horizontal="center"/>
    </xf>
    <xf numFmtId="0" fontId="48" fillId="0" borderId="52" xfId="0" applyFont="1" applyBorder="1" applyAlignment="1">
      <alignment horizontal="center"/>
    </xf>
    <xf numFmtId="0" fontId="48" fillId="0" borderId="51" xfId="0" applyFont="1" applyBorder="1" applyAlignment="1">
      <alignment horizontal="center"/>
    </xf>
    <xf numFmtId="0" fontId="17" fillId="0" borderId="50" xfId="40" applyFont="1" applyFill="1" applyBorder="1" applyAlignment="1">
      <alignment horizontal="center"/>
    </xf>
    <xf numFmtId="0" fontId="17" fillId="0" borderId="45" xfId="40" applyFont="1" applyFill="1" applyBorder="1" applyAlignment="1">
      <alignment horizontal="center"/>
    </xf>
    <xf numFmtId="0" fontId="54" fillId="0" borderId="48" xfId="0" applyFont="1" applyFill="1" applyBorder="1" applyAlignment="1">
      <alignment horizontal="center"/>
    </xf>
    <xf numFmtId="0" fontId="54" fillId="0" borderId="23" xfId="0" applyFont="1" applyFill="1" applyBorder="1" applyAlignment="1">
      <alignment horizontal="center"/>
    </xf>
    <xf numFmtId="0" fontId="54" fillId="0" borderId="24" xfId="0" applyFont="1" applyFill="1" applyBorder="1" applyAlignment="1">
      <alignment horizontal="center"/>
    </xf>
    <xf numFmtId="0" fontId="48" fillId="0" borderId="23" xfId="0" applyFont="1" applyBorder="1" applyAlignment="1">
      <alignment horizontal="center"/>
    </xf>
    <xf numFmtId="0" fontId="0" fillId="0" borderId="31" xfId="0" applyNumberFormat="1" applyBorder="1" applyAlignment="1" applyProtection="1">
      <alignment wrapText="1"/>
      <protection locked="0"/>
    </xf>
    <xf numFmtId="0" fontId="17" fillId="0" borderId="14" xfId="0" applyFont="1" applyBorder="1" applyAlignment="1">
      <alignment horizontal="left" vertical="center" wrapText="1"/>
    </xf>
    <xf numFmtId="0" fontId="17" fillId="0" borderId="23" xfId="0" applyFont="1" applyBorder="1" applyAlignment="1">
      <alignment horizontal="left" vertical="center" wrapText="1"/>
    </xf>
    <xf numFmtId="0" fontId="17" fillId="0" borderId="28" xfId="0" applyFont="1" applyBorder="1" applyAlignment="1">
      <alignment horizontal="left" vertical="center" wrapText="1"/>
    </xf>
    <xf numFmtId="0" fontId="17" fillId="0" borderId="30" xfId="0" applyFont="1" applyFill="1" applyBorder="1" applyAlignment="1">
      <alignment horizontal="left" vertical="center" wrapText="1"/>
    </xf>
    <xf numFmtId="0" fontId="17" fillId="0" borderId="31" xfId="0" applyFont="1" applyFill="1" applyBorder="1" applyAlignment="1">
      <alignment horizontal="left" vertical="center" wrapText="1"/>
    </xf>
    <xf numFmtId="0" fontId="17" fillId="0" borderId="32"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17" fillId="0" borderId="30" xfId="0" applyFont="1" applyBorder="1" applyAlignment="1">
      <alignment horizontal="left" vertical="center" wrapText="1"/>
    </xf>
    <xf numFmtId="0" fontId="17" fillId="0" borderId="31" xfId="0" applyFont="1" applyBorder="1" applyAlignment="1">
      <alignment horizontal="left" vertical="center" wrapText="1"/>
    </xf>
    <xf numFmtId="0" fontId="17" fillId="0" borderId="32" xfId="0" applyFont="1" applyBorder="1" applyAlignment="1">
      <alignment horizontal="left" vertical="center" wrapText="1"/>
    </xf>
    <xf numFmtId="0" fontId="6" fillId="0" borderId="35" xfId="0" applyFont="1" applyBorder="1" applyAlignment="1">
      <alignment horizontal="left" wrapText="1"/>
    </xf>
    <xf numFmtId="0" fontId="6" fillId="0" borderId="22" xfId="0" applyFont="1" applyBorder="1" applyAlignment="1">
      <alignment horizontal="left" wrapText="1"/>
    </xf>
    <xf numFmtId="0" fontId="6" fillId="0" borderId="33" xfId="0" applyFont="1" applyBorder="1" applyAlignment="1">
      <alignment horizontal="left" vertical="center" wrapText="1"/>
    </xf>
    <xf numFmtId="0" fontId="6" fillId="0" borderId="0"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22" xfId="0" applyFont="1" applyBorder="1" applyAlignment="1">
      <alignment horizontal="left" vertical="center" wrapText="1"/>
    </xf>
    <xf numFmtId="0" fontId="6" fillId="0" borderId="36" xfId="0" applyFont="1" applyBorder="1" applyAlignment="1">
      <alignment horizontal="left" vertical="center" wrapText="1"/>
    </xf>
    <xf numFmtId="0" fontId="17" fillId="0" borderId="1" xfId="40" applyFont="1" applyFill="1" applyBorder="1" applyAlignment="1">
      <alignment horizontal="left" wrapText="1"/>
    </xf>
    <xf numFmtId="0" fontId="17" fillId="35" borderId="37" xfId="40" applyFont="1" applyFill="1" applyBorder="1" applyAlignment="1">
      <alignment horizontal="center" wrapText="1"/>
    </xf>
    <xf numFmtId="0" fontId="17" fillId="35" borderId="38" xfId="40" applyFont="1" applyFill="1" applyBorder="1" applyAlignment="1">
      <alignment horizontal="center" wrapText="1"/>
    </xf>
    <xf numFmtId="0" fontId="17" fillId="35" borderId="15" xfId="40" applyFont="1" applyFill="1" applyBorder="1" applyAlignment="1">
      <alignment horizontal="center"/>
    </xf>
    <xf numFmtId="0" fontId="17" fillId="35" borderId="16" xfId="40" applyFont="1" applyFill="1" applyBorder="1" applyAlignment="1">
      <alignment horizontal="center"/>
    </xf>
    <xf numFmtId="0" fontId="17" fillId="35" borderId="17" xfId="40" applyFont="1" applyFill="1" applyBorder="1" applyAlignment="1">
      <alignment horizontal="center"/>
    </xf>
    <xf numFmtId="0" fontId="17" fillId="0" borderId="37" xfId="40" applyFont="1" applyBorder="1" applyAlignment="1">
      <alignment horizontal="center" wrapText="1"/>
    </xf>
    <xf numFmtId="0" fontId="17" fillId="0" borderId="40" xfId="40" applyFont="1" applyBorder="1" applyAlignment="1">
      <alignment horizontal="center" wrapText="1"/>
    </xf>
    <xf numFmtId="0" fontId="17" fillId="0" borderId="38" xfId="40" applyFont="1" applyBorder="1" applyAlignment="1">
      <alignment horizontal="center" wrapText="1"/>
    </xf>
    <xf numFmtId="0" fontId="7" fillId="0" borderId="15" xfId="40" applyFont="1" applyBorder="1" applyAlignment="1">
      <alignment wrapText="1"/>
    </xf>
    <xf numFmtId="0" fontId="7" fillId="0" borderId="17" xfId="40" applyFont="1" applyBorder="1" applyAlignment="1">
      <alignment wrapText="1"/>
    </xf>
    <xf numFmtId="0" fontId="7" fillId="0" borderId="16" xfId="40" applyFont="1" applyBorder="1" applyAlignment="1">
      <alignment wrapText="1"/>
    </xf>
    <xf numFmtId="0" fontId="42" fillId="0" borderId="15" xfId="40" applyFont="1" applyBorder="1" applyAlignment="1">
      <alignment wrapText="1"/>
    </xf>
    <xf numFmtId="0" fontId="42" fillId="0" borderId="17" xfId="40" applyFont="1" applyBorder="1" applyAlignment="1">
      <alignment wrapText="1"/>
    </xf>
    <xf numFmtId="0" fontId="42" fillId="0" borderId="15" xfId="40" applyFont="1" applyBorder="1"/>
    <xf numFmtId="0" fontId="42" fillId="0" borderId="17" xfId="40" applyFont="1" applyBorder="1"/>
    <xf numFmtId="0" fontId="6" fillId="0" borderId="22" xfId="40" applyFont="1" applyBorder="1" applyAlignment="1">
      <alignment horizontal="left" wrapText="1"/>
    </xf>
    <xf numFmtId="0" fontId="47" fillId="0" borderId="14" xfId="40" applyFont="1" applyBorder="1" applyAlignment="1">
      <alignment horizontal="center"/>
    </xf>
    <xf numFmtId="0" fontId="47" fillId="0" borderId="28" xfId="40" applyFont="1" applyBorder="1" applyAlignment="1">
      <alignment horizontal="center"/>
    </xf>
    <xf numFmtId="0" fontId="50" fillId="0" borderId="0" xfId="40" applyFont="1" applyFill="1" applyBorder="1" applyAlignment="1">
      <alignment horizontal="center" vertical="center" wrapText="1"/>
    </xf>
    <xf numFmtId="0" fontId="0" fillId="0" borderId="0" xfId="0" applyBorder="1" applyAlignment="1"/>
    <xf numFmtId="0" fontId="0" fillId="0" borderId="0" xfId="0" applyAlignment="1"/>
    <xf numFmtId="0" fontId="50" fillId="0" borderId="31" xfId="40" applyFont="1" applyFill="1" applyBorder="1" applyAlignment="1">
      <alignment horizontal="center" vertical="center" wrapText="1"/>
    </xf>
    <xf numFmtId="0" fontId="0" fillId="0" borderId="31" xfId="0" applyBorder="1" applyAlignment="1"/>
    <xf numFmtId="0" fontId="29" fillId="0" borderId="0" xfId="40" applyFont="1" applyAlignment="1">
      <alignment horizontal="center"/>
    </xf>
    <xf numFmtId="0" fontId="17" fillId="0" borderId="22" xfId="40" applyFont="1" applyBorder="1" applyAlignment="1">
      <alignment horizontal="center"/>
    </xf>
    <xf numFmtId="0" fontId="6" fillId="0" borderId="23" xfId="0" applyFont="1" applyBorder="1" applyAlignment="1">
      <alignment horizontal="left" vertical="center" wrapText="1"/>
    </xf>
    <xf numFmtId="0" fontId="33" fillId="0" borderId="23" xfId="0" applyFont="1" applyBorder="1" applyAlignment="1">
      <alignment horizontal="left" vertical="center" wrapText="1"/>
    </xf>
  </cellXfs>
  <cellStyles count="100">
    <cellStyle name="20% - Accent1 2" xfId="1"/>
    <cellStyle name="20% - Accent1 2 2" xfId="69"/>
    <cellStyle name="20% - Accent2 2" xfId="2"/>
    <cellStyle name="20% - Accent2 2 2" xfId="70"/>
    <cellStyle name="20% - Accent3 2" xfId="3"/>
    <cellStyle name="20% - Accent3 2 2" xfId="71"/>
    <cellStyle name="20% - Accent4 2" xfId="4"/>
    <cellStyle name="20% - Accent4 2 2" xfId="72"/>
    <cellStyle name="20% - Accent5 2" xfId="5"/>
    <cellStyle name="20% - Accent5 2 2" xfId="73"/>
    <cellStyle name="20% - Accent6 2" xfId="6"/>
    <cellStyle name="20% - Accent6 2 2" xfId="74"/>
    <cellStyle name="40% - Accent1 2" xfId="7"/>
    <cellStyle name="40% - Accent1 2 2" xfId="75"/>
    <cellStyle name="40% - Accent2 2" xfId="8"/>
    <cellStyle name="40% - Accent2 2 2" xfId="76"/>
    <cellStyle name="40% - Accent3 2" xfId="9"/>
    <cellStyle name="40% - Accent3 2 2" xfId="77"/>
    <cellStyle name="40% - Accent4 2" xfId="10"/>
    <cellStyle name="40% - Accent4 2 2" xfId="78"/>
    <cellStyle name="40% - Accent5 2" xfId="11"/>
    <cellStyle name="40% - Accent5 2 2" xfId="79"/>
    <cellStyle name="40% - Accent6 2" xfId="12"/>
    <cellStyle name="40% - Accent6 2 2" xfId="80"/>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67" builtinId="3"/>
    <cellStyle name="Comma 2" xfId="28"/>
    <cellStyle name="DateTime" xfId="29"/>
    <cellStyle name="DateTime 2" xfId="81"/>
    <cellStyle name="Euro" xfId="30"/>
    <cellStyle name="Explanatory Text 2" xfId="31"/>
    <cellStyle name="Good 2" xfId="32"/>
    <cellStyle name="Heading 1 2" xfId="33"/>
    <cellStyle name="Heading 2 2" xfId="34"/>
    <cellStyle name="Heading 3 2" xfId="35"/>
    <cellStyle name="Heading 4 2" xfId="36"/>
    <cellStyle name="Hyperlink" xfId="68" builtinId="8"/>
    <cellStyle name="Hyperlink 2" xfId="82"/>
    <cellStyle name="Input" xfId="98" builtinId="20"/>
    <cellStyle name="Input 2" xfId="37"/>
    <cellStyle name="Linked Cell 2" xfId="38"/>
    <cellStyle name="Neutral 2" xfId="39"/>
    <cellStyle name="Normal" xfId="0" builtinId="0"/>
    <cellStyle name="Normal 2" xfId="40"/>
    <cellStyle name="Normal 3" xfId="83"/>
    <cellStyle name="Normal 4" xfId="99"/>
    <cellStyle name="Note 2" xfId="41"/>
    <cellStyle name="Note 2 2" xfId="84"/>
    <cellStyle name="Output 2" xfId="42"/>
    <cellStyle name="Percent 2" xfId="43"/>
    <cellStyle name="Percent 2 2" xfId="44"/>
    <cellStyle name="Percent 2 3" xfId="85"/>
    <cellStyle name="Standard_Bsp-Datenaustausch_S&amp;U" xfId="45"/>
    <cellStyle name="Style 21" xfId="46"/>
    <cellStyle name="Style 22" xfId="47"/>
    <cellStyle name="Style 23" xfId="48"/>
    <cellStyle name="Style 23 2" xfId="86"/>
    <cellStyle name="Style 24" xfId="49"/>
    <cellStyle name="Style 24 2" xfId="87"/>
    <cellStyle name="Style 25" xfId="50"/>
    <cellStyle name="Style 25 2" xfId="88"/>
    <cellStyle name="Style 26" xfId="51"/>
    <cellStyle name="Style 26 2" xfId="89"/>
    <cellStyle name="Style 27" xfId="52"/>
    <cellStyle name="Style 27 2" xfId="90"/>
    <cellStyle name="Style 28" xfId="53"/>
    <cellStyle name="Style 28 2" xfId="91"/>
    <cellStyle name="Style 29" xfId="54"/>
    <cellStyle name="Style 29 2" xfId="92"/>
    <cellStyle name="Style 30" xfId="55"/>
    <cellStyle name="Style 30 2" xfId="93"/>
    <cellStyle name="Style 31" xfId="56"/>
    <cellStyle name="Style 31 2" xfId="94"/>
    <cellStyle name="Style 32" xfId="57"/>
    <cellStyle name="Style 32 2" xfId="95"/>
    <cellStyle name="Style 33" xfId="58"/>
    <cellStyle name="Style 33 2" xfId="96"/>
    <cellStyle name="Style 34" xfId="59"/>
    <cellStyle name="Style 35" xfId="60"/>
    <cellStyle name="Style 36" xfId="61"/>
    <cellStyle name="text" xfId="62"/>
    <cellStyle name="Title 2" xfId="63"/>
    <cellStyle name="Total 2" xfId="64"/>
    <cellStyle name="Warning Text 2" xfId="65"/>
    <cellStyle name="wissenschaft-Eingabe" xfId="66"/>
    <cellStyle name="wissenschaft-Eingabe 2" xfId="97"/>
  </cellStyles>
  <dxfs count="6">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38</xdr:row>
      <xdr:rowOff>38100</xdr:rowOff>
    </xdr:from>
    <xdr:to>
      <xdr:col>13</xdr:col>
      <xdr:colOff>0</xdr:colOff>
      <xdr:row>52</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71525" y="6911340"/>
          <a:ext cx="7846695" cy="233743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16</xdr:row>
          <xdr:rowOff>76200</xdr:rowOff>
        </xdr:from>
        <xdr:to>
          <xdr:col>3</xdr:col>
          <xdr:colOff>809625</xdr:colOff>
          <xdr:row>16</xdr:row>
          <xdr:rowOff>276225</xdr:rowOff>
        </xdr:to>
        <xdr:sp macro="" textlink="">
          <xdr:nvSpPr>
            <xdr:cNvPr id="6145" name="Process"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1419225</xdr:colOff>
          <xdr:row>16</xdr:row>
          <xdr:rowOff>76200</xdr:rowOff>
        </xdr:from>
        <xdr:to>
          <xdr:col>3</xdr:col>
          <xdr:colOff>2295525</xdr:colOff>
          <xdr:row>16</xdr:row>
          <xdr:rowOff>276225</xdr:rowOff>
        </xdr:to>
        <xdr:sp macro="" textlink="">
          <xdr:nvSpPr>
            <xdr:cNvPr id="6146" name="CheckBox1"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2657475</xdr:colOff>
          <xdr:row>16</xdr:row>
          <xdr:rowOff>66675</xdr:rowOff>
        </xdr:from>
        <xdr:to>
          <xdr:col>3</xdr:col>
          <xdr:colOff>3609975</xdr:colOff>
          <xdr:row>16</xdr:row>
          <xdr:rowOff>266700</xdr:rowOff>
        </xdr:to>
        <xdr:sp macro="" textlink="">
          <xdr:nvSpPr>
            <xdr:cNvPr id="6147" name="CheckBox2"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3838575</xdr:colOff>
          <xdr:row>16</xdr:row>
          <xdr:rowOff>66675</xdr:rowOff>
        </xdr:from>
        <xdr:to>
          <xdr:col>3</xdr:col>
          <xdr:colOff>4857750</xdr:colOff>
          <xdr:row>16</xdr:row>
          <xdr:rowOff>266700</xdr:rowOff>
        </xdr:to>
        <xdr:sp macro="" textlink="">
          <xdr:nvSpPr>
            <xdr:cNvPr id="6148" name="CheckBox3"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18</xdr:row>
      <xdr:rowOff>56030</xdr:rowOff>
    </xdr:from>
    <xdr:to>
      <xdr:col>6</xdr:col>
      <xdr:colOff>5740444</xdr:colOff>
      <xdr:row>21</xdr:row>
      <xdr:rowOff>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20806" y="2723030"/>
          <a:ext cx="3643263"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582705</xdr:colOff>
      <xdr:row>33</xdr:row>
      <xdr:rowOff>151279</xdr:rowOff>
    </xdr:from>
    <xdr:to>
      <xdr:col>7</xdr:col>
      <xdr:colOff>31795</xdr:colOff>
      <xdr:row>38</xdr:row>
      <xdr:rowOff>1155</xdr:rowOff>
    </xdr:to>
    <xdr:grpSp>
      <xdr:nvGrpSpPr>
        <xdr:cNvPr id="37" name="Legend">
          <a:extLst>
            <a:ext uri="{FF2B5EF4-FFF2-40B4-BE49-F238E27FC236}">
              <a16:creationId xmlns:a16="http://schemas.microsoft.com/office/drawing/2014/main" id="{00000000-0008-0000-1000-000025000000}"/>
            </a:ext>
          </a:extLst>
        </xdr:cNvPr>
        <xdr:cNvGrpSpPr/>
      </xdr:nvGrpSpPr>
      <xdr:grpSpPr>
        <a:xfrm>
          <a:off x="2633381" y="6067985"/>
          <a:ext cx="2183326" cy="746346"/>
          <a:chOff x="7457181" y="3134295"/>
          <a:chExt cx="1953912" cy="753022"/>
        </a:xfrm>
      </xdr:grpSpPr>
      <xdr:sp macro="" textlink="">
        <xdr:nvSpPr>
          <xdr:cNvPr id="66" name="LegendBox">
            <a:extLst>
              <a:ext uri="{FF2B5EF4-FFF2-40B4-BE49-F238E27FC236}">
                <a16:creationId xmlns:a16="http://schemas.microsoft.com/office/drawing/2014/main" id="{00000000-0008-0000-1000-000042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67" name="Upstream Emssion Data">
            <a:extLst>
              <a:ext uri="{FF2B5EF4-FFF2-40B4-BE49-F238E27FC236}">
                <a16:creationId xmlns:a16="http://schemas.microsoft.com/office/drawing/2014/main" id="{00000000-0008-0000-1000-000043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68" name="TextBox 67">
            <a:extLst>
              <a:ext uri="{FF2B5EF4-FFF2-40B4-BE49-F238E27FC236}">
                <a16:creationId xmlns:a16="http://schemas.microsoft.com/office/drawing/2014/main" id="{00000000-0008-0000-1000-000044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9" name="TextBox 68">
            <a:extLst>
              <a:ext uri="{FF2B5EF4-FFF2-40B4-BE49-F238E27FC236}">
                <a16:creationId xmlns:a16="http://schemas.microsoft.com/office/drawing/2014/main" id="{00000000-0008-0000-1000-000045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0" name="TextBox 69">
            <a:extLst>
              <a:ext uri="{FF2B5EF4-FFF2-40B4-BE49-F238E27FC236}">
                <a16:creationId xmlns:a16="http://schemas.microsoft.com/office/drawing/2014/main" id="{00000000-0008-0000-1000-000046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352878</xdr:colOff>
      <xdr:row>36</xdr:row>
      <xdr:rowOff>36020</xdr:rowOff>
    </xdr:from>
    <xdr:to>
      <xdr:col>11</xdr:col>
      <xdr:colOff>223373</xdr:colOff>
      <xdr:row>40</xdr:row>
      <xdr:rowOff>61140</xdr:rowOff>
    </xdr:to>
    <xdr:sp macro="" textlink="">
      <xdr:nvSpPr>
        <xdr:cNvPr id="73" name="Reference Flow">
          <a:extLst>
            <a:ext uri="{FF2B5EF4-FFF2-40B4-BE49-F238E27FC236}">
              <a16:creationId xmlns:a16="http://schemas.microsoft.com/office/drawing/2014/main" id="{00000000-0008-0000-1000-000049000000}"/>
            </a:ext>
          </a:extLst>
        </xdr:cNvPr>
        <xdr:cNvSpPr/>
      </xdr:nvSpPr>
      <xdr:spPr>
        <a:xfrm>
          <a:off x="5137790" y="6490608"/>
          <a:ext cx="2604730" cy="742297"/>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Coal, surface, extracted [Intermediate Product]</a:t>
          </a:r>
          <a:endParaRPr lang="en-US" sz="1000" baseline="0">
            <a:solidFill>
              <a:schemeClr val="tx1"/>
            </a:solidFill>
            <a:latin typeface="Arial" pitchFamily="34" charset="0"/>
            <a:cs typeface="Arial" pitchFamily="34" charset="0"/>
          </a:endParaRPr>
        </a:p>
      </xdr:txBody>
    </xdr:sp>
    <xdr:clientData/>
  </xdr:twoCellAnchor>
  <xdr:twoCellAnchor>
    <xdr:from>
      <xdr:col>9</xdr:col>
      <xdr:colOff>288126</xdr:colOff>
      <xdr:row>29</xdr:row>
      <xdr:rowOff>108559</xdr:rowOff>
    </xdr:from>
    <xdr:to>
      <xdr:col>9</xdr:col>
      <xdr:colOff>315094</xdr:colOff>
      <xdr:row>36</xdr:row>
      <xdr:rowOff>36020</xdr:rowOff>
    </xdr:to>
    <xdr:cxnSp macro="">
      <xdr:nvCxnSpPr>
        <xdr:cNvPr id="74" name="Straight Arrow Connector Process">
          <a:extLst>
            <a:ext uri="{FF2B5EF4-FFF2-40B4-BE49-F238E27FC236}">
              <a16:creationId xmlns:a16="http://schemas.microsoft.com/office/drawing/2014/main" id="{00000000-0008-0000-1000-00004A000000}"/>
            </a:ext>
          </a:extLst>
        </xdr:cNvPr>
        <xdr:cNvCxnSpPr>
          <a:stCxn id="72" idx="2"/>
          <a:endCxn id="73" idx="0"/>
        </xdr:cNvCxnSpPr>
      </xdr:nvCxnSpPr>
      <xdr:spPr>
        <a:xfrm flipH="1">
          <a:off x="6440155" y="5308088"/>
          <a:ext cx="26968" cy="118252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22412</xdr:colOff>
      <xdr:row>1</xdr:row>
      <xdr:rowOff>126994</xdr:rowOff>
    </xdr:from>
    <xdr:to>
      <xdr:col>3</xdr:col>
      <xdr:colOff>467794</xdr:colOff>
      <xdr:row>5</xdr:row>
      <xdr:rowOff>67714</xdr:rowOff>
    </xdr:to>
    <xdr:sp macro="" textlink="">
      <xdr:nvSpPr>
        <xdr:cNvPr id="75" name="Upstream Emssion Data 1">
          <a:extLst>
            <a:ext uri="{FF2B5EF4-FFF2-40B4-BE49-F238E27FC236}">
              <a16:creationId xmlns:a16="http://schemas.microsoft.com/office/drawing/2014/main" id="{00000000-0008-0000-1000-00004B000000}"/>
            </a:ext>
          </a:extLst>
        </xdr:cNvPr>
        <xdr:cNvSpPr/>
      </xdr:nvSpPr>
      <xdr:spPr>
        <a:xfrm>
          <a:off x="705971" y="306288"/>
          <a:ext cx="1812499" cy="657897"/>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900">
              <a:solidFill>
                <a:schemeClr val="tx1"/>
              </a:solidFill>
              <a:latin typeface="Arial" pitchFamily="34" charset="0"/>
              <a:cs typeface="Arial" pitchFamily="34" charset="0"/>
            </a:rPr>
            <a:t>Light fuel oil [Refinery Products]</a:t>
          </a:r>
        </a:p>
      </xdr:txBody>
    </xdr:sp>
    <xdr:clientData/>
  </xdr:twoCellAnchor>
  <xdr:twoCellAnchor>
    <xdr:from>
      <xdr:col>3</xdr:col>
      <xdr:colOff>297527</xdr:colOff>
      <xdr:row>3</xdr:row>
      <xdr:rowOff>95640</xdr:rowOff>
    </xdr:from>
    <xdr:to>
      <xdr:col>6</xdr:col>
      <xdr:colOff>605118</xdr:colOff>
      <xdr:row>3</xdr:row>
      <xdr:rowOff>97355</xdr:rowOff>
    </xdr:to>
    <xdr:cxnSp macro="">
      <xdr:nvCxnSpPr>
        <xdr:cNvPr id="76" name="Straight Arrow Connector 1">
          <a:extLst>
            <a:ext uri="{FF2B5EF4-FFF2-40B4-BE49-F238E27FC236}">
              <a16:creationId xmlns:a16="http://schemas.microsoft.com/office/drawing/2014/main" id="{00000000-0008-0000-1000-00004C000000}"/>
            </a:ext>
          </a:extLst>
        </xdr:cNvPr>
        <xdr:cNvCxnSpPr>
          <a:stCxn id="75" idx="2"/>
          <a:endCxn id="2" idx="1"/>
        </xdr:cNvCxnSpPr>
      </xdr:nvCxnSpPr>
      <xdr:spPr>
        <a:xfrm flipV="1">
          <a:off x="2348203" y="633522"/>
          <a:ext cx="2358268" cy="1715"/>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664135</xdr:colOff>
      <xdr:row>4</xdr:row>
      <xdr:rowOff>178826</xdr:rowOff>
    </xdr:from>
    <xdr:to>
      <xdr:col>5</xdr:col>
      <xdr:colOff>423718</xdr:colOff>
      <xdr:row>8</xdr:row>
      <xdr:rowOff>119547</xdr:rowOff>
    </xdr:to>
    <xdr:sp macro="" textlink="">
      <xdr:nvSpPr>
        <xdr:cNvPr id="77" name="Upstream Emssion Data 2">
          <a:extLst>
            <a:ext uri="{FF2B5EF4-FFF2-40B4-BE49-F238E27FC236}">
              <a16:creationId xmlns:a16="http://schemas.microsoft.com/office/drawing/2014/main" id="{00000000-0008-0000-1000-00004D000000}"/>
            </a:ext>
          </a:extLst>
        </xdr:cNvPr>
        <xdr:cNvSpPr/>
      </xdr:nvSpPr>
      <xdr:spPr>
        <a:xfrm>
          <a:off x="2031253" y="896002"/>
          <a:ext cx="1810259" cy="65789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900">
              <a:solidFill>
                <a:schemeClr val="tx1"/>
              </a:solidFill>
              <a:latin typeface="Arial" pitchFamily="34" charset="0"/>
              <a:cs typeface="Arial" pitchFamily="34" charset="0"/>
            </a:rPr>
            <a:t>Ammonium nitrate [Inorganic intermediate products]</a:t>
          </a:r>
        </a:p>
      </xdr:txBody>
    </xdr:sp>
    <xdr:clientData/>
  </xdr:twoCellAnchor>
  <xdr:twoCellAnchor>
    <xdr:from>
      <xdr:col>5</xdr:col>
      <xdr:colOff>264657</xdr:colOff>
      <xdr:row>6</xdr:row>
      <xdr:rowOff>149186</xdr:rowOff>
    </xdr:from>
    <xdr:to>
      <xdr:col>6</xdr:col>
      <xdr:colOff>605118</xdr:colOff>
      <xdr:row>6</xdr:row>
      <xdr:rowOff>151327</xdr:rowOff>
    </xdr:to>
    <xdr:cxnSp macro="">
      <xdr:nvCxnSpPr>
        <xdr:cNvPr id="78" name="Straight Arrow Connector 2">
          <a:extLst>
            <a:ext uri="{FF2B5EF4-FFF2-40B4-BE49-F238E27FC236}">
              <a16:creationId xmlns:a16="http://schemas.microsoft.com/office/drawing/2014/main" id="{00000000-0008-0000-1000-00004E000000}"/>
            </a:ext>
          </a:extLst>
        </xdr:cNvPr>
        <xdr:cNvCxnSpPr/>
      </xdr:nvCxnSpPr>
      <xdr:spPr>
        <a:xfrm>
          <a:off x="3682451" y="1224951"/>
          <a:ext cx="1024020" cy="2141"/>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44825</xdr:colOff>
      <xdr:row>8</xdr:row>
      <xdr:rowOff>96184</xdr:rowOff>
    </xdr:from>
    <xdr:to>
      <xdr:col>2</xdr:col>
      <xdr:colOff>490206</xdr:colOff>
      <xdr:row>12</xdr:row>
      <xdr:rowOff>32823</xdr:rowOff>
    </xdr:to>
    <xdr:sp macro="" textlink="">
      <xdr:nvSpPr>
        <xdr:cNvPr id="79" name="Upstream Emssion Data 3">
          <a:extLst>
            <a:ext uri="{FF2B5EF4-FFF2-40B4-BE49-F238E27FC236}">
              <a16:creationId xmlns:a16="http://schemas.microsoft.com/office/drawing/2014/main" id="{00000000-0008-0000-1000-00004F000000}"/>
            </a:ext>
          </a:extLst>
        </xdr:cNvPr>
        <xdr:cNvSpPr/>
      </xdr:nvSpPr>
      <xdr:spPr>
        <a:xfrm>
          <a:off x="44825" y="1530537"/>
          <a:ext cx="1812499" cy="653815"/>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900">
              <a:solidFill>
                <a:schemeClr val="tx1"/>
              </a:solidFill>
              <a:latin typeface="Arial" pitchFamily="34" charset="0"/>
              <a:cs typeface="Arial" pitchFamily="34" charset="0"/>
            </a:rPr>
            <a:t>Electricity [Electric power]</a:t>
          </a:r>
        </a:p>
      </xdr:txBody>
    </xdr:sp>
    <xdr:clientData/>
  </xdr:twoCellAnchor>
  <xdr:twoCellAnchor>
    <xdr:from>
      <xdr:col>2</xdr:col>
      <xdr:colOff>343406</xdr:colOff>
      <xdr:row>10</xdr:row>
      <xdr:rowOff>61339</xdr:rowOff>
    </xdr:from>
    <xdr:to>
      <xdr:col>6</xdr:col>
      <xdr:colOff>605118</xdr:colOff>
      <xdr:row>10</xdr:row>
      <xdr:rowOff>64504</xdr:rowOff>
    </xdr:to>
    <xdr:cxnSp macro="">
      <xdr:nvCxnSpPr>
        <xdr:cNvPr id="80" name="Straight Arrow Connector 3">
          <a:extLst>
            <a:ext uri="{FF2B5EF4-FFF2-40B4-BE49-F238E27FC236}">
              <a16:creationId xmlns:a16="http://schemas.microsoft.com/office/drawing/2014/main" id="{00000000-0008-0000-1000-000050000000}"/>
            </a:ext>
          </a:extLst>
        </xdr:cNvPr>
        <xdr:cNvCxnSpPr/>
      </xdr:nvCxnSpPr>
      <xdr:spPr>
        <a:xfrm flipV="1">
          <a:off x="1710524" y="1854280"/>
          <a:ext cx="2995947" cy="3165"/>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190502</xdr:colOff>
      <xdr:row>11</xdr:row>
      <xdr:rowOff>35958</xdr:rowOff>
    </xdr:from>
    <xdr:to>
      <xdr:col>6</xdr:col>
      <xdr:colOff>537883</xdr:colOff>
      <xdr:row>17</xdr:row>
      <xdr:rowOff>168089</xdr:rowOff>
    </xdr:to>
    <xdr:sp macro="" textlink="">
      <xdr:nvSpPr>
        <xdr:cNvPr id="81" name="Upstream Emssion Data 4">
          <a:extLst>
            <a:ext uri="{FF2B5EF4-FFF2-40B4-BE49-F238E27FC236}">
              <a16:creationId xmlns:a16="http://schemas.microsoft.com/office/drawing/2014/main" id="{00000000-0008-0000-1000-000051000000}"/>
            </a:ext>
          </a:extLst>
        </xdr:cNvPr>
        <xdr:cNvSpPr/>
      </xdr:nvSpPr>
      <xdr:spPr>
        <a:xfrm>
          <a:off x="2241178" y="2008193"/>
          <a:ext cx="2398058" cy="1207896"/>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900">
              <a:solidFill>
                <a:schemeClr val="tx1"/>
              </a:solidFill>
              <a:latin typeface="Arial" pitchFamily="34" charset="0"/>
              <a:cs typeface="Arial" pitchFamily="34" charset="0"/>
            </a:rPr>
            <a:t>Diesel Combustion, Non-Road Engine, &gt; 750 hp, EPA Tier IV Compliance [Refinery products]</a:t>
          </a:r>
        </a:p>
      </xdr:txBody>
    </xdr:sp>
    <xdr:clientData/>
  </xdr:twoCellAnchor>
  <xdr:twoCellAnchor>
    <xdr:from>
      <xdr:col>6</xdr:col>
      <xdr:colOff>225273</xdr:colOff>
      <xdr:row>14</xdr:row>
      <xdr:rowOff>102023</xdr:rowOff>
    </xdr:from>
    <xdr:to>
      <xdr:col>6</xdr:col>
      <xdr:colOff>605118</xdr:colOff>
      <xdr:row>14</xdr:row>
      <xdr:rowOff>105820</xdr:rowOff>
    </xdr:to>
    <xdr:cxnSp macro="">
      <xdr:nvCxnSpPr>
        <xdr:cNvPr id="82" name="Straight Arrow Connector 4">
          <a:extLst>
            <a:ext uri="{FF2B5EF4-FFF2-40B4-BE49-F238E27FC236}">
              <a16:creationId xmlns:a16="http://schemas.microsoft.com/office/drawing/2014/main" id="{00000000-0008-0000-1000-000052000000}"/>
            </a:ext>
          </a:extLst>
        </xdr:cNvPr>
        <xdr:cNvCxnSpPr>
          <a:stCxn id="81" idx="2"/>
          <a:endCxn id="5" idx="1"/>
        </xdr:cNvCxnSpPr>
      </xdr:nvCxnSpPr>
      <xdr:spPr>
        <a:xfrm>
          <a:off x="4326626" y="2612141"/>
          <a:ext cx="379845" cy="3797"/>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11205</xdr:colOff>
      <xdr:row>14</xdr:row>
      <xdr:rowOff>11206</xdr:rowOff>
    </xdr:from>
    <xdr:to>
      <xdr:col>3</xdr:col>
      <xdr:colOff>313764</xdr:colOff>
      <xdr:row>22</xdr:row>
      <xdr:rowOff>168088</xdr:rowOff>
    </xdr:to>
    <xdr:sp macro="" textlink="">
      <xdr:nvSpPr>
        <xdr:cNvPr id="83" name="Upstream Emssion Data 5">
          <a:extLst>
            <a:ext uri="{FF2B5EF4-FFF2-40B4-BE49-F238E27FC236}">
              <a16:creationId xmlns:a16="http://schemas.microsoft.com/office/drawing/2014/main" id="{00000000-0008-0000-1000-000053000000}"/>
            </a:ext>
          </a:extLst>
        </xdr:cNvPr>
        <xdr:cNvSpPr/>
      </xdr:nvSpPr>
      <xdr:spPr>
        <a:xfrm>
          <a:off x="11205" y="2521324"/>
          <a:ext cx="2353235" cy="1591235"/>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900">
              <a:solidFill>
                <a:schemeClr val="tx1"/>
              </a:solidFill>
              <a:latin typeface="Arial" pitchFamily="34" charset="0"/>
              <a:cs typeface="Arial" pitchFamily="34" charset="0"/>
            </a:rPr>
            <a:t>Diesel Combustion, Non-Road Engine, 175 ≤ hp ≤ 750, EPA Tier IV Compliance  [Refinery products]</a:t>
          </a:r>
        </a:p>
      </xdr:txBody>
    </xdr:sp>
    <xdr:clientData/>
  </xdr:twoCellAnchor>
  <xdr:twoCellAnchor>
    <xdr:from>
      <xdr:col>2</xdr:col>
      <xdr:colOff>560294</xdr:colOff>
      <xdr:row>19</xdr:row>
      <xdr:rowOff>22412</xdr:rowOff>
    </xdr:from>
    <xdr:to>
      <xdr:col>6</xdr:col>
      <xdr:colOff>605118</xdr:colOff>
      <xdr:row>19</xdr:row>
      <xdr:rowOff>27038</xdr:rowOff>
    </xdr:to>
    <xdr:cxnSp macro="">
      <xdr:nvCxnSpPr>
        <xdr:cNvPr id="84" name="Straight Arrow Connector 5">
          <a:extLst>
            <a:ext uri="{FF2B5EF4-FFF2-40B4-BE49-F238E27FC236}">
              <a16:creationId xmlns:a16="http://schemas.microsoft.com/office/drawing/2014/main" id="{00000000-0008-0000-1000-000054000000}"/>
            </a:ext>
          </a:extLst>
        </xdr:cNvPr>
        <xdr:cNvCxnSpPr/>
      </xdr:nvCxnSpPr>
      <xdr:spPr>
        <a:xfrm>
          <a:off x="1927412" y="3429000"/>
          <a:ext cx="2779059" cy="4626"/>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59017</xdr:colOff>
      <xdr:row>20</xdr:row>
      <xdr:rowOff>85270</xdr:rowOff>
    </xdr:from>
    <xdr:to>
      <xdr:col>5</xdr:col>
      <xdr:colOff>502158</xdr:colOff>
      <xdr:row>24</xdr:row>
      <xdr:rowOff>25991</xdr:rowOff>
    </xdr:to>
    <xdr:sp macro="" textlink="">
      <xdr:nvSpPr>
        <xdr:cNvPr id="85" name="Upstream Emssion Data 6">
          <a:extLst>
            <a:ext uri="{FF2B5EF4-FFF2-40B4-BE49-F238E27FC236}">
              <a16:creationId xmlns:a16="http://schemas.microsoft.com/office/drawing/2014/main" id="{00000000-0008-0000-1000-000055000000}"/>
            </a:ext>
          </a:extLst>
        </xdr:cNvPr>
        <xdr:cNvSpPr/>
      </xdr:nvSpPr>
      <xdr:spPr>
        <a:xfrm>
          <a:off x="2109693" y="3671152"/>
          <a:ext cx="1810259" cy="65789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900">
              <a:solidFill>
                <a:schemeClr val="tx1"/>
              </a:solidFill>
              <a:latin typeface="Arial" pitchFamily="34" charset="0"/>
              <a:cs typeface="Arial" pitchFamily="34" charset="0"/>
            </a:rPr>
            <a:t>Diesel Combustion, Reciprocating, Industrial, Uncontrolled [Refinery products]</a:t>
          </a:r>
        </a:p>
      </xdr:txBody>
    </xdr:sp>
    <xdr:clientData/>
  </xdr:twoCellAnchor>
  <xdr:twoCellAnchor>
    <xdr:from>
      <xdr:col>5</xdr:col>
      <xdr:colOff>298273</xdr:colOff>
      <xdr:row>22</xdr:row>
      <xdr:rowOff>122865</xdr:rowOff>
    </xdr:from>
    <xdr:to>
      <xdr:col>6</xdr:col>
      <xdr:colOff>582706</xdr:colOff>
      <xdr:row>22</xdr:row>
      <xdr:rowOff>127548</xdr:rowOff>
    </xdr:to>
    <xdr:cxnSp macro="">
      <xdr:nvCxnSpPr>
        <xdr:cNvPr id="86" name="Straight Arrow Connector 6">
          <a:extLst>
            <a:ext uri="{FF2B5EF4-FFF2-40B4-BE49-F238E27FC236}">
              <a16:creationId xmlns:a16="http://schemas.microsoft.com/office/drawing/2014/main" id="{00000000-0008-0000-1000-000056000000}"/>
            </a:ext>
          </a:extLst>
        </xdr:cNvPr>
        <xdr:cNvCxnSpPr/>
      </xdr:nvCxnSpPr>
      <xdr:spPr>
        <a:xfrm>
          <a:off x="3716067" y="4067336"/>
          <a:ext cx="967992" cy="4683"/>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89647</xdr:colOff>
      <xdr:row>24</xdr:row>
      <xdr:rowOff>25041</xdr:rowOff>
    </xdr:from>
    <xdr:to>
      <xdr:col>2</xdr:col>
      <xdr:colOff>535028</xdr:colOff>
      <xdr:row>27</xdr:row>
      <xdr:rowOff>146737</xdr:rowOff>
    </xdr:to>
    <xdr:sp macro="" textlink="">
      <xdr:nvSpPr>
        <xdr:cNvPr id="87" name="Upstream Emssion Data 7">
          <a:extLst>
            <a:ext uri="{FF2B5EF4-FFF2-40B4-BE49-F238E27FC236}">
              <a16:creationId xmlns:a16="http://schemas.microsoft.com/office/drawing/2014/main" id="{00000000-0008-0000-1000-000057000000}"/>
            </a:ext>
          </a:extLst>
        </xdr:cNvPr>
        <xdr:cNvSpPr/>
      </xdr:nvSpPr>
      <xdr:spPr>
        <a:xfrm>
          <a:off x="89647" y="4328100"/>
          <a:ext cx="1812499" cy="65957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900">
              <a:solidFill>
                <a:schemeClr val="tx1"/>
              </a:solidFill>
              <a:latin typeface="Arial" pitchFamily="34" charset="0"/>
              <a:cs typeface="Arial" pitchFamily="34" charset="0"/>
            </a:rPr>
            <a:t>Coal, mine methane [Intermediate Product]</a:t>
          </a:r>
        </a:p>
      </xdr:txBody>
    </xdr:sp>
    <xdr:clientData/>
  </xdr:twoCellAnchor>
  <xdr:twoCellAnchor>
    <xdr:from>
      <xdr:col>2</xdr:col>
      <xdr:colOff>353120</xdr:colOff>
      <xdr:row>26</xdr:row>
      <xdr:rowOff>26355</xdr:rowOff>
    </xdr:from>
    <xdr:to>
      <xdr:col>6</xdr:col>
      <xdr:colOff>605118</xdr:colOff>
      <xdr:row>26</xdr:row>
      <xdr:rowOff>29860</xdr:rowOff>
    </xdr:to>
    <xdr:cxnSp macro="">
      <xdr:nvCxnSpPr>
        <xdr:cNvPr id="88" name="Straight Arrow Connector 7">
          <a:extLst>
            <a:ext uri="{FF2B5EF4-FFF2-40B4-BE49-F238E27FC236}">
              <a16:creationId xmlns:a16="http://schemas.microsoft.com/office/drawing/2014/main" id="{00000000-0008-0000-1000-000058000000}"/>
            </a:ext>
          </a:extLst>
        </xdr:cNvPr>
        <xdr:cNvCxnSpPr/>
      </xdr:nvCxnSpPr>
      <xdr:spPr>
        <a:xfrm flipV="1">
          <a:off x="1720238" y="4688002"/>
          <a:ext cx="2986233" cy="3505"/>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2991</xdr:colOff>
      <xdr:row>27</xdr:row>
      <xdr:rowOff>88081</xdr:rowOff>
    </xdr:from>
    <xdr:to>
      <xdr:col>5</xdr:col>
      <xdr:colOff>446132</xdr:colOff>
      <xdr:row>31</xdr:row>
      <xdr:rowOff>26399</xdr:rowOff>
    </xdr:to>
    <xdr:sp macro="" textlink="">
      <xdr:nvSpPr>
        <xdr:cNvPr id="89" name="Upstream Emssion Data 8">
          <a:extLst>
            <a:ext uri="{FF2B5EF4-FFF2-40B4-BE49-F238E27FC236}">
              <a16:creationId xmlns:a16="http://schemas.microsoft.com/office/drawing/2014/main" id="{00000000-0008-0000-1000-000059000000}"/>
            </a:ext>
          </a:extLst>
        </xdr:cNvPr>
        <xdr:cNvSpPr/>
      </xdr:nvSpPr>
      <xdr:spPr>
        <a:xfrm>
          <a:off x="2053667" y="4929022"/>
          <a:ext cx="1810259" cy="655495"/>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900">
              <a:solidFill>
                <a:schemeClr val="tx1"/>
              </a:solidFill>
              <a:latin typeface="Arial" pitchFamily="34" charset="0"/>
              <a:cs typeface="Arial" pitchFamily="34" charset="0"/>
            </a:rPr>
            <a:t>PRB Coal Surface Mine [Valuable substances]</a:t>
          </a:r>
        </a:p>
      </xdr:txBody>
    </xdr:sp>
    <xdr:clientData/>
  </xdr:twoCellAnchor>
  <xdr:twoCellAnchor>
    <xdr:from>
      <xdr:col>5</xdr:col>
      <xdr:colOff>276487</xdr:colOff>
      <xdr:row>29</xdr:row>
      <xdr:rowOff>57241</xdr:rowOff>
    </xdr:from>
    <xdr:to>
      <xdr:col>6</xdr:col>
      <xdr:colOff>605118</xdr:colOff>
      <xdr:row>29</xdr:row>
      <xdr:rowOff>59631</xdr:rowOff>
    </xdr:to>
    <xdr:cxnSp macro="">
      <xdr:nvCxnSpPr>
        <xdr:cNvPr id="90" name="Straight Arrow Connector 8">
          <a:extLst>
            <a:ext uri="{FF2B5EF4-FFF2-40B4-BE49-F238E27FC236}">
              <a16:creationId xmlns:a16="http://schemas.microsoft.com/office/drawing/2014/main" id="{00000000-0008-0000-1000-00005A000000}"/>
            </a:ext>
          </a:extLst>
        </xdr:cNvPr>
        <xdr:cNvCxnSpPr>
          <a:stCxn id="89" idx="2"/>
          <a:endCxn id="9" idx="1"/>
        </xdr:cNvCxnSpPr>
      </xdr:nvCxnSpPr>
      <xdr:spPr>
        <a:xfrm>
          <a:off x="3694281" y="5256770"/>
          <a:ext cx="1012190" cy="2390"/>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605118</xdr:colOff>
      <xdr:row>1</xdr:row>
      <xdr:rowOff>123825</xdr:rowOff>
    </xdr:from>
    <xdr:to>
      <xdr:col>12</xdr:col>
      <xdr:colOff>33618</xdr:colOff>
      <xdr:row>34</xdr:row>
      <xdr:rowOff>168088</xdr:rowOff>
    </xdr:to>
    <xdr:grpSp>
      <xdr:nvGrpSpPr>
        <xdr:cNvPr id="11" name="Boundary Group">
          <a:extLst>
            <a:ext uri="{FF2B5EF4-FFF2-40B4-BE49-F238E27FC236}">
              <a16:creationId xmlns:a16="http://schemas.microsoft.com/office/drawing/2014/main" id="{00000000-0008-0000-1000-00000B000000}"/>
            </a:ext>
          </a:extLst>
        </xdr:cNvPr>
        <xdr:cNvGrpSpPr/>
      </xdr:nvGrpSpPr>
      <xdr:grpSpPr>
        <a:xfrm>
          <a:off x="4706471" y="303119"/>
          <a:ext cx="3529853" cy="5960969"/>
          <a:chOff x="3556000" y="304800"/>
          <a:chExt cx="4148987" cy="2822849"/>
        </a:xfrm>
      </xdr:grpSpPr>
      <xdr:sp macro="" textlink="">
        <xdr:nvSpPr>
          <xdr:cNvPr id="71" name="Boundary Box">
            <a:extLst>
              <a:ext uri="{FF2B5EF4-FFF2-40B4-BE49-F238E27FC236}">
                <a16:creationId xmlns:a16="http://schemas.microsoft.com/office/drawing/2014/main" id="{00000000-0008-0000-1000-000047000000}"/>
              </a:ext>
            </a:extLst>
          </xdr:cNvPr>
          <xdr:cNvSpPr/>
        </xdr:nvSpPr>
        <xdr:spPr>
          <a:xfrm>
            <a:off x="3556000" y="304800"/>
            <a:ext cx="4148987" cy="2822849"/>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Arial" pitchFamily="34" charset="0"/>
                <a:ea typeface="+mn-ea"/>
                <a:cs typeface="Arial" pitchFamily="34" charset="0"/>
              </a:rPr>
              <a:t>Surface Coal Mining – Overburden Removal, Extraction, and Reclamation: System Boundary</a:t>
            </a:r>
          </a:p>
        </xdr:txBody>
      </xdr:sp>
      <xdr:sp macro="" textlink="">
        <xdr:nvSpPr>
          <xdr:cNvPr id="72" name="Process">
            <a:extLst>
              <a:ext uri="{FF2B5EF4-FFF2-40B4-BE49-F238E27FC236}">
                <a16:creationId xmlns:a16="http://schemas.microsoft.com/office/drawing/2014/main" id="{00000000-0008-0000-1000-000048000000}"/>
              </a:ext>
            </a:extLst>
          </xdr:cNvPr>
          <xdr:cNvSpPr/>
        </xdr:nvSpPr>
        <xdr:spPr>
          <a:xfrm>
            <a:off x="4318000" y="1066800"/>
            <a:ext cx="2614938" cy="160813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Arial" pitchFamily="34" charset="0"/>
                <a:cs typeface="Arial" pitchFamily="34" charset="0"/>
              </a:rPr>
              <a:t>The Energy and non-combustion emissions for the operation of a surface coal mine.</a:t>
            </a:r>
          </a:p>
        </xdr:txBody>
      </xdr:sp>
      <xdr:sp macro="" textlink="">
        <xdr:nvSpPr>
          <xdr:cNvPr id="2" name="Link 1">
            <a:extLst>
              <a:ext uri="{FF2B5EF4-FFF2-40B4-BE49-F238E27FC236}">
                <a16:creationId xmlns:a16="http://schemas.microsoft.com/office/drawing/2014/main" id="{00000000-0008-0000-1000-000002000000}"/>
              </a:ext>
            </a:extLst>
          </xdr:cNvPr>
          <xdr:cNvSpPr/>
        </xdr:nvSpPr>
        <xdr:spPr>
          <a:xfrm>
            <a:off x="3556000" y="304800"/>
            <a:ext cx="12700" cy="31292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3" name="Link 2">
            <a:extLst>
              <a:ext uri="{FF2B5EF4-FFF2-40B4-BE49-F238E27FC236}">
                <a16:creationId xmlns:a16="http://schemas.microsoft.com/office/drawing/2014/main" id="{00000000-0008-0000-1000-000003000000}"/>
              </a:ext>
            </a:extLst>
          </xdr:cNvPr>
          <xdr:cNvSpPr/>
        </xdr:nvSpPr>
        <xdr:spPr>
          <a:xfrm>
            <a:off x="3556000" y="617728"/>
            <a:ext cx="12700" cy="31292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4" name="Link 3">
            <a:extLst>
              <a:ext uri="{FF2B5EF4-FFF2-40B4-BE49-F238E27FC236}">
                <a16:creationId xmlns:a16="http://schemas.microsoft.com/office/drawing/2014/main" id="{00000000-0008-0000-1000-000004000000}"/>
              </a:ext>
            </a:extLst>
          </xdr:cNvPr>
          <xdr:cNvSpPr/>
        </xdr:nvSpPr>
        <xdr:spPr>
          <a:xfrm>
            <a:off x="3556000" y="930656"/>
            <a:ext cx="12700" cy="31292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5" name="Link 4">
            <a:extLst>
              <a:ext uri="{FF2B5EF4-FFF2-40B4-BE49-F238E27FC236}">
                <a16:creationId xmlns:a16="http://schemas.microsoft.com/office/drawing/2014/main" id="{00000000-0008-0000-1000-000005000000}"/>
              </a:ext>
            </a:extLst>
          </xdr:cNvPr>
          <xdr:cNvSpPr/>
        </xdr:nvSpPr>
        <xdr:spPr>
          <a:xfrm>
            <a:off x="3556000" y="1243584"/>
            <a:ext cx="12700" cy="31292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6" name="Link 5">
            <a:extLst>
              <a:ext uri="{FF2B5EF4-FFF2-40B4-BE49-F238E27FC236}">
                <a16:creationId xmlns:a16="http://schemas.microsoft.com/office/drawing/2014/main" id="{00000000-0008-0000-1000-000006000000}"/>
              </a:ext>
            </a:extLst>
          </xdr:cNvPr>
          <xdr:cNvSpPr/>
        </xdr:nvSpPr>
        <xdr:spPr>
          <a:xfrm>
            <a:off x="3556000" y="1556512"/>
            <a:ext cx="12700" cy="31292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7" name="Link 6">
            <a:extLst>
              <a:ext uri="{FF2B5EF4-FFF2-40B4-BE49-F238E27FC236}">
                <a16:creationId xmlns:a16="http://schemas.microsoft.com/office/drawing/2014/main" id="{00000000-0008-0000-1000-000007000000}"/>
              </a:ext>
            </a:extLst>
          </xdr:cNvPr>
          <xdr:cNvSpPr/>
        </xdr:nvSpPr>
        <xdr:spPr>
          <a:xfrm>
            <a:off x="3556000" y="1869440"/>
            <a:ext cx="12700" cy="31292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8" name="Link 7">
            <a:extLst>
              <a:ext uri="{FF2B5EF4-FFF2-40B4-BE49-F238E27FC236}">
                <a16:creationId xmlns:a16="http://schemas.microsoft.com/office/drawing/2014/main" id="{00000000-0008-0000-1000-000008000000}"/>
              </a:ext>
            </a:extLst>
          </xdr:cNvPr>
          <xdr:cNvSpPr/>
        </xdr:nvSpPr>
        <xdr:spPr>
          <a:xfrm>
            <a:off x="3556000" y="2182368"/>
            <a:ext cx="12700" cy="31292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9" name="Link 8">
            <a:extLst>
              <a:ext uri="{FF2B5EF4-FFF2-40B4-BE49-F238E27FC236}">
                <a16:creationId xmlns:a16="http://schemas.microsoft.com/office/drawing/2014/main" id="{00000000-0008-0000-1000-000009000000}"/>
              </a:ext>
            </a:extLst>
          </xdr:cNvPr>
          <xdr:cNvSpPr/>
        </xdr:nvSpPr>
        <xdr:spPr>
          <a:xfrm>
            <a:off x="3556000" y="2495296"/>
            <a:ext cx="12700" cy="31292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10" name="Link 9">
            <a:extLst>
              <a:ext uri="{FF2B5EF4-FFF2-40B4-BE49-F238E27FC236}">
                <a16:creationId xmlns:a16="http://schemas.microsoft.com/office/drawing/2014/main" id="{00000000-0008-0000-1000-00000A000000}"/>
              </a:ext>
            </a:extLst>
          </xdr:cNvPr>
          <xdr:cNvSpPr/>
        </xdr:nvSpPr>
        <xdr:spPr>
          <a:xfrm>
            <a:off x="3556000" y="2808224"/>
            <a:ext cx="12700" cy="31292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clientData/>
  </xdr:twoCellAnchor>
  <xdr:twoCellAnchor>
    <xdr:from>
      <xdr:col>0</xdr:col>
      <xdr:colOff>67235</xdr:colOff>
      <xdr:row>31</xdr:row>
      <xdr:rowOff>40738</xdr:rowOff>
    </xdr:from>
    <xdr:to>
      <xdr:col>2</xdr:col>
      <xdr:colOff>512616</xdr:colOff>
      <xdr:row>34</xdr:row>
      <xdr:rowOff>160753</xdr:rowOff>
    </xdr:to>
    <xdr:sp macro="" textlink="">
      <xdr:nvSpPr>
        <xdr:cNvPr id="91" name="Upstream Emssion Data 9">
          <a:extLst>
            <a:ext uri="{FF2B5EF4-FFF2-40B4-BE49-F238E27FC236}">
              <a16:creationId xmlns:a16="http://schemas.microsoft.com/office/drawing/2014/main" id="{00000000-0008-0000-1000-00005B000000}"/>
            </a:ext>
          </a:extLst>
        </xdr:cNvPr>
        <xdr:cNvSpPr/>
      </xdr:nvSpPr>
      <xdr:spPr>
        <a:xfrm>
          <a:off x="67235" y="5598856"/>
          <a:ext cx="1812499" cy="657897"/>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900">
              <a:solidFill>
                <a:schemeClr val="tx1"/>
              </a:solidFill>
              <a:latin typeface="Arial" pitchFamily="34" charset="0"/>
              <a:cs typeface="Arial" pitchFamily="34" charset="0"/>
            </a:rPr>
            <a:t>PRB comm [Valuable substances]</a:t>
          </a:r>
        </a:p>
      </xdr:txBody>
    </xdr:sp>
    <xdr:clientData/>
  </xdr:twoCellAnchor>
  <xdr:twoCellAnchor>
    <xdr:from>
      <xdr:col>2</xdr:col>
      <xdr:colOff>342349</xdr:colOff>
      <xdr:row>33</xdr:row>
      <xdr:rowOff>3260</xdr:rowOff>
    </xdr:from>
    <xdr:to>
      <xdr:col>6</xdr:col>
      <xdr:colOff>605118</xdr:colOff>
      <xdr:row>33</xdr:row>
      <xdr:rowOff>11099</xdr:rowOff>
    </xdr:to>
    <xdr:cxnSp macro="">
      <xdr:nvCxnSpPr>
        <xdr:cNvPr id="92" name="Straight Arrow Connector 9">
          <a:extLst>
            <a:ext uri="{FF2B5EF4-FFF2-40B4-BE49-F238E27FC236}">
              <a16:creationId xmlns:a16="http://schemas.microsoft.com/office/drawing/2014/main" id="{00000000-0008-0000-1000-00005C000000}"/>
            </a:ext>
          </a:extLst>
        </xdr:cNvPr>
        <xdr:cNvCxnSpPr>
          <a:stCxn id="91" idx="2"/>
          <a:endCxn id="10" idx="1"/>
        </xdr:cNvCxnSpPr>
      </xdr:nvCxnSpPr>
      <xdr:spPr>
        <a:xfrm flipV="1">
          <a:off x="1709467" y="5919966"/>
          <a:ext cx="2997004" cy="7839"/>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prod75-share2/sites/OSAP/Energy%20Analysis%20Collaboration/LCA/Unit%20Process%20Development/NETL_Review/Stage1_O_Coal_Mine_PRB/DS_Stage1_O_CoalMine_PRB_2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WaterEmissions"/>
      <sheetName val="MineProduction"/>
      <sheetName val="PM"/>
      <sheetName val="Air_EFs"/>
      <sheetName val="Elec_Use"/>
      <sheetName val="DieselUse"/>
      <sheetName val="Explosives"/>
      <sheetName val="MineCH4"/>
      <sheetName val="WaterConsumption"/>
      <sheetName val="Conversions"/>
      <sheetName val="Assumptions"/>
    </sheetNames>
    <sheetDataSet>
      <sheetData sheetId="0"/>
      <sheetData sheetId="1">
        <row r="250">
          <cell r="C250" t="str">
            <v>&lt;select from list&gt;</v>
          </cell>
          <cell r="D250" t="str">
            <v>&lt;select from list&gt;</v>
          </cell>
          <cell r="E250" t="str">
            <v>&lt;select from list&gt;</v>
          </cell>
          <cell r="H250" t="str">
            <v>&lt;select from list&gt;</v>
          </cell>
        </row>
        <row r="251">
          <cell r="C251" t="str">
            <v>Extraction Process (EP)</v>
          </cell>
          <cell r="D251" t="str">
            <v>Cradle-to-Grave (End-of-Life) Process (CE)</v>
          </cell>
          <cell r="E251" t="str">
            <v>All Flows Captured</v>
          </cell>
          <cell r="H251" t="str">
            <v>Measured</v>
          </cell>
          <cell r="J251" t="str">
            <v>X</v>
          </cell>
        </row>
        <row r="252">
          <cell r="C252" t="str">
            <v>Manufacturing Process (MP)</v>
          </cell>
          <cell r="D252" t="str">
            <v>Cradle-to-Gate Process (CG)</v>
          </cell>
          <cell r="E252" t="str">
            <v>All Relevant Flows Captured</v>
          </cell>
          <cell r="H252" t="str">
            <v>Calculated</v>
          </cell>
          <cell r="J252" t="str">
            <v>*</v>
          </cell>
        </row>
        <row r="253">
          <cell r="C253" t="str">
            <v>Installation Process (IP)</v>
          </cell>
          <cell r="D253" t="str">
            <v>Gate-to-Gate Process (GG)</v>
          </cell>
          <cell r="E253" t="str">
            <v>Individual Relevant Flows Captured</v>
          </cell>
          <cell r="H253" t="str">
            <v>Literature</v>
          </cell>
        </row>
        <row r="254">
          <cell r="C254" t="str">
            <v>Basic Process (BP)</v>
          </cell>
          <cell r="D254" t="str">
            <v>Gate-to-Grave (End-of-Life) Process (GE)</v>
          </cell>
          <cell r="E254" t="str">
            <v>Some Relevant Flows Not Captured</v>
          </cell>
          <cell r="H254" t="str">
            <v>Estimated</v>
          </cell>
        </row>
        <row r="255">
          <cell r="C255" t="str">
            <v>Energy Conversion (EC)</v>
          </cell>
          <cell r="E255" t="str">
            <v>No Statement</v>
          </cell>
          <cell r="H255" t="str">
            <v>No Statement</v>
          </cell>
        </row>
        <row r="256">
          <cell r="C256" t="str">
            <v>Transport Process (TP)</v>
          </cell>
        </row>
        <row r="257">
          <cell r="C257" t="str">
            <v>Recovery Process (RP)</v>
          </cell>
        </row>
        <row r="258">
          <cell r="C258" t="str">
            <v>Waste Treatment Process (WT)</v>
          </cell>
        </row>
        <row r="259">
          <cell r="C259" t="str">
            <v>Auxiliary Process (AP)</v>
          </cell>
        </row>
      </sheetData>
      <sheetData sheetId="2">
        <row r="52">
          <cell r="B52" t="str">
            <v>&lt;select from list&gt;</v>
          </cell>
        </row>
        <row r="53">
          <cell r="B53" t="str">
            <v>Undefined</v>
          </cell>
        </row>
        <row r="54">
          <cell r="B54" t="str">
            <v>Article</v>
          </cell>
        </row>
        <row r="55">
          <cell r="B55" t="str">
            <v>Chapters in Anthology</v>
          </cell>
        </row>
        <row r="56">
          <cell r="B56" t="str">
            <v>Separate Publication</v>
          </cell>
        </row>
        <row r="57">
          <cell r="B57" t="str">
            <v>Measurement on Site</v>
          </cell>
        </row>
        <row r="58">
          <cell r="B58" t="str">
            <v>Oral Communication</v>
          </cell>
        </row>
        <row r="59">
          <cell r="B59" t="str">
            <v>Personal Written Communication</v>
          </cell>
        </row>
        <row r="60">
          <cell r="B60" t="str">
            <v>Questionnaires</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8" Type="http://schemas.openxmlformats.org/officeDocument/2006/relationships/hyperlink" Target="http://www.epa.gov/ttn/chief/ap42/ch13/bgdocs/b13s02.pdf" TargetMode="External"/><Relationship Id="rId3" Type="http://schemas.openxmlformats.org/officeDocument/2006/relationships/hyperlink" Target="http://www.epa.gov/ttn/chief/ap42/ch11/index.html" TargetMode="External"/><Relationship Id="rId7" Type="http://schemas.openxmlformats.org/officeDocument/2006/relationships/hyperlink" Target="http://pubs.usgs.gov/of/2011/1253/report/OF11-1253.pdf" TargetMode="External"/><Relationship Id="rId2" Type="http://schemas.openxmlformats.org/officeDocument/2006/relationships/hyperlink" Target="http://www.epa.gov/ttn/chief/net/2005inventory.html" TargetMode="External"/><Relationship Id="rId1" Type="http://schemas.openxmlformats.org/officeDocument/2006/relationships/hyperlink" Target="http://www1.eere.energy.gov/manufacturing/resources/mining/pdfs/coal.pdf" TargetMode="External"/><Relationship Id="rId6" Type="http://schemas.openxmlformats.org/officeDocument/2006/relationships/hyperlink" Target="http://www.platts.com/latest-news/coal/manila/indonesian-coal-producers-cut-costs-to-sustain-26917488" TargetMode="External"/><Relationship Id="rId5" Type="http://schemas.openxmlformats.org/officeDocument/2006/relationships/hyperlink" Target="http://www.cat.com/cda/layout?x=7&amp;m=607409" TargetMode="External"/><Relationship Id="rId4" Type="http://schemas.openxmlformats.org/officeDocument/2006/relationships/hyperlink" Target="http://www.techtransfer.osmre.gov/NTTMainSite/Library/pub/airquality/toc.pdf"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10"/>
  <sheetViews>
    <sheetView tabSelected="1" topLeftCell="A13" workbookViewId="0">
      <selection activeCell="C33" sqref="C33:M33"/>
    </sheetView>
  </sheetViews>
  <sheetFormatPr defaultColWidth="9.140625" defaultRowHeight="12.75" x14ac:dyDescent="0.2"/>
  <cols>
    <col min="1" max="1" width="2" style="2" customWidth="1"/>
    <col min="2" max="2" width="12.5703125" style="3" customWidth="1"/>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484" t="s">
        <v>26</v>
      </c>
      <c r="B1" s="484"/>
      <c r="C1" s="484"/>
      <c r="D1" s="484"/>
      <c r="E1" s="484"/>
      <c r="F1" s="484"/>
      <c r="G1" s="484"/>
      <c r="H1" s="484"/>
      <c r="I1" s="484"/>
      <c r="J1" s="484"/>
      <c r="K1" s="484"/>
      <c r="L1" s="484"/>
      <c r="M1" s="484"/>
      <c r="N1" s="484"/>
      <c r="O1" s="1"/>
    </row>
    <row r="2" spans="1:27" ht="21" thickBot="1" x14ac:dyDescent="0.35">
      <c r="A2" s="484" t="s">
        <v>27</v>
      </c>
      <c r="B2" s="484"/>
      <c r="C2" s="484"/>
      <c r="D2" s="484"/>
      <c r="E2" s="484"/>
      <c r="F2" s="484"/>
      <c r="G2" s="484"/>
      <c r="H2" s="484"/>
      <c r="I2" s="484"/>
      <c r="J2" s="484"/>
      <c r="K2" s="484"/>
      <c r="L2" s="484"/>
      <c r="M2" s="484"/>
      <c r="N2" s="484"/>
      <c r="O2" s="1"/>
    </row>
    <row r="3" spans="1:27" ht="12.75" customHeight="1" thickBot="1" x14ac:dyDescent="0.25">
      <c r="B3" s="2"/>
      <c r="C3" s="4" t="s">
        <v>28</v>
      </c>
      <c r="D3" s="242" t="str">
        <f>'Data Summary'!D4</f>
        <v>Surface Coal Mining – Overburden Removal, Extraction, and Reclamation</v>
      </c>
      <c r="E3" s="5"/>
      <c r="F3" s="5"/>
      <c r="G3" s="5"/>
      <c r="H3" s="5"/>
      <c r="I3" s="5"/>
      <c r="J3" s="5"/>
      <c r="K3" s="5"/>
      <c r="L3" s="5"/>
      <c r="M3" s="6"/>
      <c r="N3" s="2"/>
      <c r="O3" s="2"/>
    </row>
    <row r="4" spans="1:27" ht="42.75" customHeight="1" thickBot="1" x14ac:dyDescent="0.25">
      <c r="B4" s="2"/>
      <c r="C4" s="4" t="s">
        <v>29</v>
      </c>
      <c r="D4" s="485" t="str">
        <f>'Data Summary'!D6</f>
        <v>The Energy and non-combustion emissions for the operation of a surface coal mine.</v>
      </c>
      <c r="E4" s="486"/>
      <c r="F4" s="486"/>
      <c r="G4" s="486"/>
      <c r="H4" s="486"/>
      <c r="I4" s="486"/>
      <c r="J4" s="486"/>
      <c r="K4" s="486"/>
      <c r="L4" s="486"/>
      <c r="M4" s="487"/>
      <c r="N4" s="2"/>
      <c r="O4" s="2"/>
    </row>
    <row r="5" spans="1:27" ht="39" customHeight="1" thickBot="1" x14ac:dyDescent="0.25">
      <c r="B5" s="2"/>
      <c r="C5" s="4" t="s">
        <v>30</v>
      </c>
      <c r="D5" s="485" t="s">
        <v>948</v>
      </c>
      <c r="E5" s="486"/>
      <c r="F5" s="486"/>
      <c r="G5" s="486"/>
      <c r="H5" s="486"/>
      <c r="I5" s="486"/>
      <c r="J5" s="486"/>
      <c r="K5" s="486"/>
      <c r="L5" s="486"/>
      <c r="M5" s="487"/>
      <c r="N5" s="2"/>
      <c r="O5" s="2"/>
    </row>
    <row r="6" spans="1:27" ht="56.25" customHeight="1" thickBot="1" x14ac:dyDescent="0.25">
      <c r="B6" s="2"/>
      <c r="C6" s="7" t="s">
        <v>31</v>
      </c>
      <c r="D6" s="485" t="s">
        <v>32</v>
      </c>
      <c r="E6" s="486"/>
      <c r="F6" s="486"/>
      <c r="G6" s="486"/>
      <c r="H6" s="486"/>
      <c r="I6" s="486"/>
      <c r="J6" s="486"/>
      <c r="K6" s="486"/>
      <c r="L6" s="486"/>
      <c r="M6" s="487"/>
      <c r="N6" s="2"/>
      <c r="O6" s="2"/>
    </row>
    <row r="7" spans="1:27" x14ac:dyDescent="0.2">
      <c r="B7" s="8" t="s">
        <v>33</v>
      </c>
      <c r="C7" s="8"/>
      <c r="D7" s="8"/>
      <c r="E7" s="8"/>
      <c r="F7" s="8"/>
      <c r="G7" s="8"/>
      <c r="H7" s="8"/>
      <c r="I7" s="8"/>
      <c r="J7" s="8"/>
      <c r="K7" s="8"/>
      <c r="L7" s="8"/>
      <c r="M7" s="8"/>
      <c r="N7" s="2"/>
      <c r="O7" s="2"/>
    </row>
    <row r="8" spans="1:27" ht="13.5" thickBot="1" x14ac:dyDescent="0.25">
      <c r="B8" s="8"/>
      <c r="C8" s="8" t="s">
        <v>34</v>
      </c>
      <c r="D8" s="8" t="s">
        <v>14</v>
      </c>
      <c r="E8" s="8"/>
      <c r="F8" s="8"/>
      <c r="G8" s="8"/>
      <c r="H8" s="8"/>
      <c r="I8" s="8"/>
      <c r="J8" s="8"/>
      <c r="K8" s="8"/>
      <c r="L8" s="8"/>
      <c r="M8" s="8"/>
      <c r="N8" s="2"/>
      <c r="O8" s="2"/>
    </row>
    <row r="9" spans="1:27" s="10" customFormat="1" ht="15" customHeight="1" x14ac:dyDescent="0.2">
      <c r="A9" s="2"/>
      <c r="B9" s="491" t="s">
        <v>35</v>
      </c>
      <c r="C9" s="9" t="s">
        <v>36</v>
      </c>
      <c r="D9" s="494" t="s">
        <v>37</v>
      </c>
      <c r="E9" s="494"/>
      <c r="F9" s="494"/>
      <c r="G9" s="494"/>
      <c r="H9" s="494"/>
      <c r="I9" s="494"/>
      <c r="J9" s="494"/>
      <c r="K9" s="494"/>
      <c r="L9" s="494"/>
      <c r="M9" s="495"/>
      <c r="N9" s="2"/>
      <c r="O9" s="2"/>
      <c r="P9" s="2"/>
      <c r="Q9" s="2"/>
      <c r="R9" s="2"/>
      <c r="S9" s="2"/>
      <c r="T9" s="2"/>
      <c r="U9" s="2"/>
      <c r="V9" s="2"/>
      <c r="W9" s="2"/>
      <c r="X9" s="2"/>
      <c r="Y9" s="2"/>
      <c r="Z9" s="2"/>
      <c r="AA9" s="2"/>
    </row>
    <row r="10" spans="1:27" s="10" customFormat="1" ht="15" customHeight="1" x14ac:dyDescent="0.2">
      <c r="A10" s="2"/>
      <c r="B10" s="492"/>
      <c r="C10" s="11" t="s">
        <v>38</v>
      </c>
      <c r="D10" s="496" t="s">
        <v>39</v>
      </c>
      <c r="E10" s="496"/>
      <c r="F10" s="496"/>
      <c r="G10" s="496"/>
      <c r="H10" s="496"/>
      <c r="I10" s="496"/>
      <c r="J10" s="496"/>
      <c r="K10" s="496"/>
      <c r="L10" s="496"/>
      <c r="M10" s="497"/>
      <c r="N10" s="2"/>
      <c r="O10" s="2"/>
      <c r="P10" s="2"/>
      <c r="Q10" s="2"/>
      <c r="R10" s="2"/>
      <c r="S10" s="2"/>
      <c r="T10" s="2"/>
      <c r="U10" s="2"/>
      <c r="V10" s="2"/>
      <c r="W10" s="2"/>
      <c r="X10" s="2"/>
      <c r="Y10" s="2"/>
      <c r="Z10" s="2"/>
      <c r="AA10" s="2"/>
    </row>
    <row r="11" spans="1:27" s="10" customFormat="1" ht="15" customHeight="1" x14ac:dyDescent="0.2">
      <c r="A11" s="2"/>
      <c r="B11" s="493"/>
      <c r="C11" s="11" t="s">
        <v>40</v>
      </c>
      <c r="D11" s="496" t="s">
        <v>41</v>
      </c>
      <c r="E11" s="496"/>
      <c r="F11" s="496"/>
      <c r="G11" s="496"/>
      <c r="H11" s="496"/>
      <c r="I11" s="496"/>
      <c r="J11" s="496"/>
      <c r="K11" s="496"/>
      <c r="L11" s="496"/>
      <c r="M11" s="497"/>
      <c r="N11" s="2"/>
      <c r="O11" s="2"/>
      <c r="P11" s="2"/>
      <c r="Q11" s="2"/>
      <c r="R11" s="2"/>
      <c r="S11" s="2"/>
      <c r="T11" s="2"/>
      <c r="U11" s="2"/>
      <c r="V11" s="2"/>
      <c r="W11" s="2"/>
      <c r="X11" s="2"/>
      <c r="Y11" s="2"/>
      <c r="Z11" s="2"/>
      <c r="AA11" s="2"/>
    </row>
    <row r="12" spans="1:27" s="10" customFormat="1" ht="15" customHeight="1" x14ac:dyDescent="0.2">
      <c r="A12" s="2"/>
      <c r="B12" s="488" t="s">
        <v>42</v>
      </c>
      <c r="C12" s="12" t="s">
        <v>806</v>
      </c>
      <c r="D12" s="477" t="s">
        <v>885</v>
      </c>
      <c r="E12" s="477"/>
      <c r="F12" s="477"/>
      <c r="G12" s="477"/>
      <c r="H12" s="477"/>
      <c r="I12" s="477"/>
      <c r="J12" s="477"/>
      <c r="K12" s="477"/>
      <c r="L12" s="477"/>
      <c r="M12" s="478"/>
      <c r="N12" s="2"/>
      <c r="O12" s="2"/>
      <c r="P12" s="2"/>
      <c r="Q12" s="2"/>
      <c r="R12" s="2"/>
      <c r="S12" s="2"/>
      <c r="T12" s="2"/>
      <c r="U12" s="2"/>
      <c r="V12" s="2"/>
      <c r="W12" s="2"/>
      <c r="X12" s="2"/>
      <c r="Y12" s="2"/>
      <c r="Z12" s="2"/>
      <c r="AA12" s="2"/>
    </row>
    <row r="13" spans="1:27" s="10" customFormat="1" ht="15" customHeight="1" x14ac:dyDescent="0.2">
      <c r="A13" s="2"/>
      <c r="B13" s="489"/>
      <c r="C13" s="12" t="s">
        <v>805</v>
      </c>
      <c r="D13" s="477" t="s">
        <v>807</v>
      </c>
      <c r="E13" s="477"/>
      <c r="F13" s="477"/>
      <c r="G13" s="477"/>
      <c r="H13" s="477"/>
      <c r="I13" s="477"/>
      <c r="J13" s="477"/>
      <c r="K13" s="477"/>
      <c r="L13" s="477"/>
      <c r="M13" s="478"/>
      <c r="N13" s="2"/>
      <c r="O13" s="2"/>
      <c r="P13" s="2"/>
      <c r="Q13" s="2"/>
      <c r="R13" s="2"/>
      <c r="S13" s="2"/>
      <c r="T13" s="2"/>
      <c r="U13" s="2"/>
      <c r="V13" s="2"/>
      <c r="W13" s="2"/>
      <c r="X13" s="2"/>
      <c r="Y13" s="2"/>
      <c r="Z13" s="2"/>
      <c r="AA13" s="2"/>
    </row>
    <row r="14" spans="1:27" s="10" customFormat="1" ht="15" customHeight="1" x14ac:dyDescent="0.2">
      <c r="A14" s="2"/>
      <c r="B14" s="489"/>
      <c r="C14" s="12" t="s">
        <v>372</v>
      </c>
      <c r="D14" s="477" t="s">
        <v>700</v>
      </c>
      <c r="E14" s="477"/>
      <c r="F14" s="477"/>
      <c r="G14" s="477"/>
      <c r="H14" s="477"/>
      <c r="I14" s="477"/>
      <c r="J14" s="477"/>
      <c r="K14" s="477"/>
      <c r="L14" s="477"/>
      <c r="M14" s="478"/>
      <c r="N14" s="2"/>
      <c r="O14" s="2"/>
      <c r="P14" s="2"/>
      <c r="Q14" s="2"/>
      <c r="R14" s="2"/>
      <c r="S14" s="2"/>
      <c r="T14" s="2"/>
      <c r="U14" s="2"/>
      <c r="V14" s="2"/>
      <c r="W14" s="2"/>
      <c r="X14" s="2"/>
      <c r="Y14" s="2"/>
      <c r="Z14" s="2"/>
      <c r="AA14" s="2"/>
    </row>
    <row r="15" spans="1:27" s="10" customFormat="1" ht="15" customHeight="1" x14ac:dyDescent="0.2">
      <c r="A15" s="2"/>
      <c r="B15" s="489"/>
      <c r="C15" s="12" t="s">
        <v>278</v>
      </c>
      <c r="D15" s="477" t="s">
        <v>701</v>
      </c>
      <c r="E15" s="477"/>
      <c r="F15" s="477"/>
      <c r="G15" s="477"/>
      <c r="H15" s="477"/>
      <c r="I15" s="477"/>
      <c r="J15" s="477"/>
      <c r="K15" s="477"/>
      <c r="L15" s="477"/>
      <c r="M15" s="478"/>
      <c r="N15" s="2"/>
      <c r="O15" s="2"/>
      <c r="P15" s="2"/>
      <c r="Q15" s="2"/>
      <c r="R15" s="2"/>
      <c r="S15" s="2"/>
      <c r="T15" s="2"/>
      <c r="U15" s="2"/>
      <c r="V15" s="2"/>
      <c r="W15" s="2"/>
      <c r="X15" s="2"/>
      <c r="Y15" s="2"/>
      <c r="Z15" s="2"/>
      <c r="AA15" s="2"/>
    </row>
    <row r="16" spans="1:27" s="10" customFormat="1" ht="15" customHeight="1" x14ac:dyDescent="0.2">
      <c r="A16" s="2"/>
      <c r="B16" s="489"/>
      <c r="C16" s="12" t="s">
        <v>907</v>
      </c>
      <c r="D16" s="477" t="s">
        <v>886</v>
      </c>
      <c r="E16" s="477"/>
      <c r="F16" s="477"/>
      <c r="G16" s="477"/>
      <c r="H16" s="477"/>
      <c r="I16" s="477"/>
      <c r="J16" s="477"/>
      <c r="K16" s="477"/>
      <c r="L16" s="477"/>
      <c r="M16" s="478"/>
      <c r="N16" s="2"/>
      <c r="O16" s="2"/>
      <c r="P16" s="2"/>
      <c r="Q16" s="2"/>
      <c r="R16" s="2"/>
      <c r="S16" s="2"/>
      <c r="T16" s="2"/>
      <c r="U16" s="2"/>
      <c r="V16" s="2"/>
      <c r="W16" s="2"/>
      <c r="X16" s="2"/>
      <c r="Y16" s="2"/>
      <c r="Z16" s="2"/>
      <c r="AA16" s="2"/>
    </row>
    <row r="17" spans="1:27" s="10" customFormat="1" ht="15" customHeight="1" x14ac:dyDescent="0.2">
      <c r="A17" s="2"/>
      <c r="B17" s="489"/>
      <c r="C17" s="12" t="s">
        <v>392</v>
      </c>
      <c r="D17" s="477" t="s">
        <v>702</v>
      </c>
      <c r="E17" s="477"/>
      <c r="F17" s="477"/>
      <c r="G17" s="477"/>
      <c r="H17" s="477"/>
      <c r="I17" s="477"/>
      <c r="J17" s="477"/>
      <c r="K17" s="477"/>
      <c r="L17" s="477"/>
      <c r="M17" s="478"/>
      <c r="N17" s="2"/>
      <c r="O17" s="2"/>
      <c r="P17" s="2"/>
      <c r="Q17" s="2"/>
      <c r="R17" s="2"/>
      <c r="S17" s="2"/>
      <c r="T17" s="2"/>
      <c r="U17" s="2"/>
      <c r="V17" s="2"/>
      <c r="W17" s="2"/>
      <c r="X17" s="2"/>
      <c r="Y17" s="2"/>
      <c r="Z17" s="2"/>
      <c r="AA17" s="2"/>
    </row>
    <row r="18" spans="1:27" s="10" customFormat="1" ht="15" customHeight="1" x14ac:dyDescent="0.2">
      <c r="A18" s="2"/>
      <c r="B18" s="489"/>
      <c r="C18" s="12" t="s">
        <v>703</v>
      </c>
      <c r="D18" s="477" t="s">
        <v>704</v>
      </c>
      <c r="E18" s="477"/>
      <c r="F18" s="477"/>
      <c r="G18" s="477"/>
      <c r="H18" s="477"/>
      <c r="I18" s="477"/>
      <c r="J18" s="477"/>
      <c r="K18" s="477"/>
      <c r="L18" s="477"/>
      <c r="M18" s="478"/>
      <c r="N18" s="2"/>
      <c r="O18" s="2"/>
      <c r="P18" s="2"/>
      <c r="Q18" s="2"/>
      <c r="R18" s="2"/>
      <c r="S18" s="2"/>
      <c r="T18" s="2"/>
      <c r="U18" s="2"/>
      <c r="V18" s="2"/>
      <c r="W18" s="2"/>
      <c r="X18" s="2"/>
      <c r="Y18" s="2"/>
      <c r="Z18" s="2"/>
      <c r="AA18" s="2"/>
    </row>
    <row r="19" spans="1:27" s="10" customFormat="1" ht="15" customHeight="1" x14ac:dyDescent="0.2">
      <c r="A19" s="2"/>
      <c r="B19" s="489"/>
      <c r="C19" s="12" t="s">
        <v>908</v>
      </c>
      <c r="D19" s="477" t="s">
        <v>887</v>
      </c>
      <c r="E19" s="477"/>
      <c r="F19" s="477"/>
      <c r="G19" s="477"/>
      <c r="H19" s="477"/>
      <c r="I19" s="477"/>
      <c r="J19" s="477"/>
      <c r="K19" s="477"/>
      <c r="L19" s="477"/>
      <c r="M19" s="478"/>
      <c r="N19" s="2"/>
      <c r="O19" s="2"/>
      <c r="P19" s="2"/>
      <c r="Q19" s="2"/>
      <c r="R19" s="2"/>
      <c r="S19" s="2"/>
      <c r="T19" s="2"/>
      <c r="U19" s="2"/>
      <c r="V19" s="2"/>
      <c r="W19" s="2"/>
      <c r="X19" s="2"/>
      <c r="Y19" s="2"/>
      <c r="Z19" s="2"/>
      <c r="AA19" s="2"/>
    </row>
    <row r="20" spans="1:27" ht="15" customHeight="1" x14ac:dyDescent="0.2">
      <c r="B20" s="489"/>
      <c r="C20" s="12" t="s">
        <v>269</v>
      </c>
      <c r="D20" s="477" t="s">
        <v>888</v>
      </c>
      <c r="E20" s="477"/>
      <c r="F20" s="477"/>
      <c r="G20" s="477"/>
      <c r="H20" s="477"/>
      <c r="I20" s="477"/>
      <c r="J20" s="477"/>
      <c r="K20" s="477"/>
      <c r="L20" s="477"/>
      <c r="M20" s="478"/>
      <c r="N20" s="2"/>
      <c r="O20" s="2"/>
    </row>
    <row r="21" spans="1:27" ht="15" customHeight="1" x14ac:dyDescent="0.2">
      <c r="B21" s="489"/>
      <c r="C21" s="12" t="s">
        <v>848</v>
      </c>
      <c r="D21" s="477" t="s">
        <v>889</v>
      </c>
      <c r="E21" s="477"/>
      <c r="F21" s="477"/>
      <c r="G21" s="477"/>
      <c r="H21" s="477"/>
      <c r="I21" s="477"/>
      <c r="J21" s="477"/>
      <c r="K21" s="477"/>
      <c r="L21" s="477"/>
      <c r="M21" s="478"/>
      <c r="N21" s="2"/>
      <c r="O21" s="2"/>
    </row>
    <row r="22" spans="1:27" ht="15" customHeight="1" x14ac:dyDescent="0.2">
      <c r="B22" s="489"/>
      <c r="C22" s="12" t="s">
        <v>43</v>
      </c>
      <c r="D22" s="482" t="s">
        <v>44</v>
      </c>
      <c r="E22" s="482"/>
      <c r="F22" s="482"/>
      <c r="G22" s="482"/>
      <c r="H22" s="482"/>
      <c r="I22" s="482"/>
      <c r="J22" s="482"/>
      <c r="K22" s="482"/>
      <c r="L22" s="482"/>
      <c r="M22" s="483"/>
      <c r="N22" s="2"/>
      <c r="O22" s="2"/>
    </row>
    <row r="23" spans="1:27" ht="15" customHeight="1" x14ac:dyDescent="0.2">
      <c r="B23" s="489"/>
      <c r="C23" s="282" t="s">
        <v>45</v>
      </c>
      <c r="D23" s="482" t="s">
        <v>45</v>
      </c>
      <c r="E23" s="482"/>
      <c r="F23" s="482"/>
      <c r="G23" s="482"/>
      <c r="H23" s="482"/>
      <c r="I23" s="482"/>
      <c r="J23" s="482"/>
      <c r="K23" s="482"/>
      <c r="L23" s="482"/>
      <c r="M23" s="281"/>
      <c r="N23" s="2"/>
      <c r="O23" s="2"/>
    </row>
    <row r="24" spans="1:27" ht="15" customHeight="1" thickBot="1" x14ac:dyDescent="0.25">
      <c r="B24" s="490"/>
      <c r="C24" s="197" t="s">
        <v>591</v>
      </c>
      <c r="D24" s="480" t="s">
        <v>592</v>
      </c>
      <c r="E24" s="480"/>
      <c r="F24" s="480"/>
      <c r="G24" s="480"/>
      <c r="H24" s="480"/>
      <c r="I24" s="480"/>
      <c r="J24" s="480"/>
      <c r="K24" s="480"/>
      <c r="L24" s="480"/>
      <c r="M24" s="481"/>
      <c r="N24" s="2"/>
      <c r="O24" s="2"/>
    </row>
    <row r="25" spans="1:27" x14ac:dyDescent="0.2">
      <c r="B25" s="8"/>
      <c r="C25" s="8"/>
      <c r="D25" s="8"/>
      <c r="E25" s="8"/>
      <c r="F25" s="8"/>
      <c r="G25" s="8"/>
      <c r="H25" s="8"/>
      <c r="I25" s="8"/>
      <c r="J25" s="8"/>
      <c r="K25" s="8"/>
      <c r="L25" s="8"/>
      <c r="M25" s="8"/>
      <c r="N25" s="2"/>
      <c r="O25" s="2"/>
    </row>
    <row r="26" spans="1:27" x14ac:dyDescent="0.2">
      <c r="B26" s="8" t="s">
        <v>214</v>
      </c>
      <c r="C26" s="414">
        <v>41481</v>
      </c>
      <c r="D26" s="8"/>
      <c r="E26" s="8"/>
      <c r="F26" s="8"/>
      <c r="G26" s="8"/>
      <c r="H26" s="8"/>
      <c r="I26" s="8"/>
      <c r="J26" s="8"/>
      <c r="K26" s="8"/>
      <c r="L26" s="8"/>
      <c r="M26" s="8"/>
      <c r="N26" s="2"/>
      <c r="O26" s="2"/>
    </row>
    <row r="27" spans="1:27" x14ac:dyDescent="0.2">
      <c r="B27" s="8"/>
      <c r="C27" s="189"/>
      <c r="D27" s="8"/>
      <c r="E27" s="8"/>
      <c r="F27" s="8"/>
      <c r="G27" s="8"/>
      <c r="H27" s="8"/>
      <c r="I27" s="8"/>
      <c r="J27" s="8"/>
      <c r="K27" s="8"/>
      <c r="L27" s="8"/>
      <c r="M27" s="8"/>
      <c r="N27" s="2"/>
      <c r="O27" s="2"/>
    </row>
    <row r="28" spans="1:27" x14ac:dyDescent="0.2">
      <c r="B28" s="8" t="s">
        <v>215</v>
      </c>
      <c r="C28" s="8"/>
      <c r="D28" s="8"/>
      <c r="E28" s="8"/>
      <c r="F28" s="8"/>
      <c r="G28" s="8"/>
      <c r="H28" s="8"/>
      <c r="I28" s="8"/>
      <c r="J28" s="8"/>
      <c r="K28" s="8"/>
      <c r="L28" s="8"/>
      <c r="M28" s="8"/>
      <c r="N28" s="2"/>
      <c r="O28" s="2"/>
    </row>
    <row r="29" spans="1:27" x14ac:dyDescent="0.2">
      <c r="B29" s="8"/>
      <c r="C29" s="13" t="s">
        <v>216</v>
      </c>
      <c r="D29" s="8"/>
      <c r="E29" s="8"/>
      <c r="F29" s="8"/>
      <c r="G29" s="8"/>
      <c r="H29" s="8"/>
      <c r="I29" s="8"/>
      <c r="J29" s="8"/>
      <c r="K29" s="8"/>
      <c r="L29" s="8"/>
      <c r="M29" s="8"/>
      <c r="N29" s="2"/>
      <c r="O29" s="2"/>
    </row>
    <row r="30" spans="1:27" x14ac:dyDescent="0.2">
      <c r="B30" s="8" t="s">
        <v>217</v>
      </c>
      <c r="C30" s="13"/>
      <c r="D30" s="8"/>
      <c r="E30" s="8"/>
      <c r="F30" s="8"/>
      <c r="G30" s="8"/>
      <c r="H30" s="8"/>
      <c r="I30" s="8"/>
      <c r="J30" s="8"/>
      <c r="K30" s="8"/>
      <c r="L30" s="8"/>
      <c r="M30" s="8"/>
      <c r="N30" s="2"/>
      <c r="O30" s="2"/>
    </row>
    <row r="31" spans="1:27" x14ac:dyDescent="0.2">
      <c r="B31" s="8"/>
      <c r="C31" s="13" t="s">
        <v>218</v>
      </c>
      <c r="D31" s="8"/>
      <c r="E31" s="8"/>
      <c r="F31" s="8"/>
      <c r="G31" s="8"/>
      <c r="H31" s="8"/>
      <c r="I31" s="8"/>
      <c r="J31" s="8"/>
      <c r="K31" s="8"/>
      <c r="L31" s="8"/>
      <c r="M31" s="8"/>
      <c r="N31" s="2"/>
      <c r="O31" s="2"/>
    </row>
    <row r="32" spans="1:27" x14ac:dyDescent="0.2">
      <c r="B32" s="8" t="s">
        <v>46</v>
      </c>
      <c r="C32" s="8"/>
      <c r="D32" s="8"/>
      <c r="E32" s="8"/>
      <c r="F32" s="8"/>
      <c r="G32" s="8"/>
      <c r="H32" s="8"/>
      <c r="I32" s="8"/>
      <c r="J32" s="8"/>
      <c r="K32" s="8"/>
      <c r="L32" s="8"/>
      <c r="M32" s="8"/>
      <c r="N32" s="2"/>
      <c r="O32" s="2"/>
    </row>
    <row r="33" spans="2:16" ht="38.25" customHeight="1" x14ac:dyDescent="0.2">
      <c r="B33" s="8"/>
      <c r="C33" s="479" t="str">
        <f>"This document should be cited as: NETL (2013). NETL Life Cycle Inventory Data – Unit Process: "&amp;D3&amp;". U.S. Department of Energy, National Energy Technology Laboratory. Last Updated: May 2015 (version 02). www.netl.doe.gov/LCA (http://www.netl.doe.gov/LCA)"</f>
        <v>This document should be cited as: NETL (2013). NETL Life Cycle Inventory Data – Unit Process: Surface Coal Mining – Overburden Removal, Extraction, and Reclamation. U.S. Department of Energy, National Energy Technology Laboratory. Last Updated: May 2015 (version 02). www.netl.doe.gov/LCA (http://www.netl.doe.gov/LCA)</v>
      </c>
      <c r="D33" s="479"/>
      <c r="E33" s="479"/>
      <c r="F33" s="479"/>
      <c r="G33" s="479"/>
      <c r="H33" s="479"/>
      <c r="I33" s="479"/>
      <c r="J33" s="479"/>
      <c r="K33" s="479"/>
      <c r="L33" s="479"/>
      <c r="M33" s="479"/>
      <c r="N33" s="2"/>
      <c r="O33" s="2"/>
    </row>
    <row r="34" spans="2:16" x14ac:dyDescent="0.2">
      <c r="B34" s="8" t="s">
        <v>47</v>
      </c>
      <c r="C34" s="8"/>
      <c r="D34" s="8"/>
      <c r="E34" s="8"/>
      <c r="F34" s="8"/>
      <c r="G34" s="13"/>
      <c r="H34" s="13"/>
      <c r="I34" s="13"/>
      <c r="J34" s="13"/>
      <c r="K34" s="13"/>
      <c r="L34" s="13"/>
      <c r="M34" s="13"/>
      <c r="N34" s="2"/>
      <c r="O34" s="2"/>
    </row>
    <row r="35" spans="2:16" x14ac:dyDescent="0.2">
      <c r="B35" s="13"/>
      <c r="C35" s="13" t="s">
        <v>48</v>
      </c>
      <c r="D35" s="13"/>
      <c r="E35" s="14" t="s">
        <v>49</v>
      </c>
      <c r="F35" s="15"/>
      <c r="G35" s="13" t="s">
        <v>50</v>
      </c>
      <c r="H35" s="13"/>
      <c r="I35" s="13"/>
      <c r="J35" s="13"/>
      <c r="K35" s="13"/>
      <c r="L35" s="13"/>
      <c r="M35" s="13"/>
      <c r="N35" s="2"/>
      <c r="O35" s="2"/>
      <c r="P35" s="13"/>
    </row>
    <row r="36" spans="2:16" x14ac:dyDescent="0.2">
      <c r="B36" s="13"/>
      <c r="C36" s="13" t="s">
        <v>51</v>
      </c>
      <c r="D36" s="13"/>
      <c r="E36" s="13"/>
      <c r="F36" s="13"/>
      <c r="G36" s="13"/>
      <c r="H36" s="13"/>
      <c r="I36" s="13"/>
      <c r="J36" s="13"/>
      <c r="K36" s="13"/>
      <c r="L36" s="13"/>
      <c r="M36" s="13"/>
      <c r="N36" s="2"/>
      <c r="O36" s="2"/>
      <c r="P36" s="13"/>
    </row>
    <row r="37" spans="2:16" x14ac:dyDescent="0.2">
      <c r="B37" s="13"/>
      <c r="C37" s="13" t="s">
        <v>52</v>
      </c>
      <c r="D37" s="13"/>
      <c r="E37" s="13"/>
      <c r="F37" s="13"/>
      <c r="G37" s="13"/>
      <c r="H37" s="13"/>
      <c r="I37" s="13"/>
      <c r="J37" s="13"/>
      <c r="K37" s="13"/>
      <c r="L37" s="13"/>
      <c r="M37" s="13"/>
      <c r="N37" s="13"/>
      <c r="O37" s="13"/>
      <c r="P37" s="13"/>
    </row>
    <row r="38" spans="2:16" x14ac:dyDescent="0.2">
      <c r="B38" s="13"/>
      <c r="C38" s="13"/>
      <c r="D38" s="13"/>
      <c r="E38" s="13"/>
      <c r="F38" s="13"/>
      <c r="G38" s="13"/>
      <c r="H38" s="13"/>
      <c r="I38" s="13"/>
      <c r="J38" s="13"/>
      <c r="K38" s="13"/>
      <c r="L38" s="13"/>
      <c r="M38" s="13"/>
      <c r="N38" s="13"/>
      <c r="O38" s="13"/>
    </row>
    <row r="39" spans="2:16" x14ac:dyDescent="0.2">
      <c r="B39" s="8" t="s">
        <v>53</v>
      </c>
      <c r="C39" s="13"/>
      <c r="D39" s="13"/>
      <c r="E39" s="13"/>
      <c r="F39" s="13"/>
      <c r="G39" s="13"/>
      <c r="H39" s="13"/>
      <c r="I39" s="13"/>
      <c r="J39" s="13"/>
      <c r="K39" s="13"/>
      <c r="L39" s="13"/>
      <c r="M39" s="13"/>
      <c r="N39" s="13"/>
      <c r="O39" s="13"/>
    </row>
    <row r="40" spans="2:16" x14ac:dyDescent="0.2">
      <c r="B40" s="13"/>
      <c r="C40" s="13"/>
      <c r="D40" s="13"/>
      <c r="E40" s="13"/>
      <c r="F40" s="13"/>
      <c r="G40" s="13"/>
      <c r="H40" s="13"/>
      <c r="I40" s="13"/>
      <c r="J40" s="13"/>
      <c r="K40" s="13"/>
      <c r="L40" s="13"/>
      <c r="M40" s="13"/>
      <c r="N40" s="13"/>
      <c r="O40" s="13"/>
    </row>
    <row r="41" spans="2:16" x14ac:dyDescent="0.2">
      <c r="B41" s="13"/>
      <c r="C41" s="13"/>
      <c r="D41" s="13"/>
      <c r="E41" s="13"/>
      <c r="F41" s="13"/>
      <c r="G41" s="13"/>
      <c r="H41" s="13"/>
      <c r="I41" s="13"/>
      <c r="J41" s="13"/>
      <c r="K41" s="13"/>
      <c r="L41" s="13"/>
      <c r="M41" s="13"/>
      <c r="N41" s="13"/>
      <c r="O41" s="13"/>
    </row>
    <row r="42" spans="2:16" x14ac:dyDescent="0.2">
      <c r="B42" s="13"/>
      <c r="C42" s="13"/>
      <c r="D42" s="13"/>
      <c r="E42" s="13"/>
      <c r="F42" s="13"/>
      <c r="G42" s="13"/>
      <c r="H42" s="13"/>
      <c r="I42" s="13"/>
      <c r="J42" s="13"/>
      <c r="K42" s="13"/>
      <c r="L42" s="13"/>
      <c r="M42" s="13"/>
      <c r="N42" s="13"/>
      <c r="O42" s="13"/>
    </row>
    <row r="43" spans="2:16" x14ac:dyDescent="0.2">
      <c r="B43" s="13"/>
      <c r="C43" s="13"/>
      <c r="D43" s="13"/>
      <c r="E43" s="13"/>
      <c r="F43" s="13"/>
      <c r="G43" s="13"/>
      <c r="H43" s="13"/>
      <c r="I43" s="13"/>
      <c r="J43" s="13"/>
      <c r="K43" s="13"/>
      <c r="L43" s="13"/>
      <c r="M43" s="13"/>
      <c r="N43" s="13"/>
      <c r="O43" s="13"/>
    </row>
    <row r="44" spans="2:16" x14ac:dyDescent="0.2">
      <c r="B44" s="13"/>
      <c r="C44" s="13"/>
      <c r="D44" s="13"/>
      <c r="E44" s="13"/>
      <c r="F44" s="13"/>
      <c r="G44" s="13"/>
      <c r="H44" s="13"/>
      <c r="I44" s="13"/>
      <c r="J44" s="13"/>
      <c r="K44" s="13"/>
      <c r="L44" s="13"/>
      <c r="M44" s="13"/>
      <c r="N44" s="13"/>
      <c r="O44" s="13"/>
    </row>
    <row r="45" spans="2:16" x14ac:dyDescent="0.2">
      <c r="B45" s="13"/>
      <c r="C45" s="13"/>
      <c r="D45" s="13"/>
      <c r="E45" s="13"/>
      <c r="F45" s="13"/>
      <c r="G45" s="13"/>
      <c r="H45" s="13"/>
      <c r="I45" s="13"/>
      <c r="J45" s="13"/>
      <c r="K45" s="13"/>
      <c r="L45" s="13"/>
      <c r="M45" s="13"/>
      <c r="N45" s="13"/>
      <c r="O45" s="13"/>
    </row>
    <row r="46" spans="2:16" x14ac:dyDescent="0.2">
      <c r="B46" s="13"/>
      <c r="C46" s="13"/>
      <c r="D46" s="13"/>
      <c r="E46" s="13"/>
      <c r="F46" s="13"/>
      <c r="G46" s="13"/>
      <c r="H46" s="13"/>
      <c r="I46" s="13"/>
      <c r="J46" s="13"/>
      <c r="K46" s="13"/>
      <c r="L46" s="13"/>
      <c r="M46" s="13"/>
      <c r="N46" s="13"/>
      <c r="O46" s="13"/>
    </row>
    <row r="47" spans="2:16" x14ac:dyDescent="0.2">
      <c r="B47" s="13"/>
      <c r="C47" s="13"/>
      <c r="D47" s="13"/>
      <c r="E47" s="13"/>
      <c r="F47" s="13"/>
      <c r="G47" s="13"/>
      <c r="H47" s="13"/>
      <c r="I47" s="13"/>
      <c r="J47" s="13"/>
      <c r="K47" s="13"/>
      <c r="L47" s="13"/>
      <c r="M47" s="13"/>
      <c r="N47" s="13"/>
      <c r="O47" s="13"/>
    </row>
    <row r="48" spans="2:16" x14ac:dyDescent="0.2">
      <c r="B48" s="13"/>
      <c r="C48" s="13"/>
      <c r="D48" s="13"/>
      <c r="E48" s="13"/>
      <c r="F48" s="13"/>
      <c r="G48" s="13"/>
      <c r="H48" s="13"/>
      <c r="I48" s="13"/>
      <c r="J48" s="13"/>
      <c r="K48" s="13"/>
      <c r="L48" s="13"/>
      <c r="M48" s="13"/>
      <c r="N48" s="13"/>
      <c r="O48" s="13"/>
    </row>
    <row r="49" spans="2:15" x14ac:dyDescent="0.2">
      <c r="B49" s="13"/>
      <c r="C49" s="13"/>
      <c r="D49" s="13"/>
      <c r="E49" s="13"/>
      <c r="F49" s="13"/>
      <c r="G49" s="13"/>
      <c r="H49" s="13"/>
      <c r="I49" s="13"/>
      <c r="J49" s="13"/>
      <c r="K49" s="13"/>
      <c r="L49" s="13"/>
      <c r="M49" s="13"/>
      <c r="N49" s="13"/>
      <c r="O49" s="13"/>
    </row>
    <row r="50" spans="2:15" x14ac:dyDescent="0.2">
      <c r="B50" s="13"/>
      <c r="C50" s="13"/>
      <c r="D50" s="13"/>
      <c r="E50" s="13"/>
      <c r="F50" s="13"/>
      <c r="G50" s="13"/>
      <c r="H50" s="13"/>
      <c r="I50" s="13"/>
      <c r="J50" s="13"/>
      <c r="K50" s="13"/>
      <c r="L50" s="13"/>
      <c r="M50" s="13"/>
      <c r="N50" s="13"/>
      <c r="O50" s="13"/>
    </row>
    <row r="51" spans="2:15" x14ac:dyDescent="0.2">
      <c r="B51" s="13"/>
      <c r="C51" s="13"/>
      <c r="D51" s="13"/>
      <c r="E51" s="13"/>
      <c r="F51" s="13"/>
      <c r="G51" s="13"/>
      <c r="H51" s="13"/>
      <c r="I51" s="13"/>
      <c r="J51" s="13"/>
      <c r="K51" s="13"/>
      <c r="L51" s="13"/>
      <c r="M51" s="13"/>
      <c r="N51" s="13"/>
      <c r="O51" s="13"/>
    </row>
    <row r="52" spans="2:15" x14ac:dyDescent="0.2">
      <c r="B52" s="13"/>
      <c r="C52" s="13"/>
      <c r="D52" s="13"/>
      <c r="E52" s="13"/>
      <c r="F52" s="13"/>
      <c r="G52" s="13"/>
      <c r="H52" s="13"/>
      <c r="I52" s="13"/>
      <c r="J52" s="13"/>
      <c r="K52" s="13"/>
      <c r="L52" s="13"/>
      <c r="M52" s="13"/>
      <c r="N52" s="13"/>
      <c r="O52" s="13"/>
    </row>
    <row r="53" spans="2:15" x14ac:dyDescent="0.2">
      <c r="B53" s="13"/>
      <c r="C53" s="13"/>
      <c r="D53" s="13"/>
      <c r="E53" s="13"/>
      <c r="F53" s="13"/>
      <c r="G53" s="13"/>
      <c r="H53" s="13"/>
      <c r="I53" s="13"/>
      <c r="J53" s="13"/>
      <c r="K53" s="13"/>
      <c r="L53" s="13"/>
      <c r="M53" s="13"/>
      <c r="N53" s="13"/>
      <c r="O53" s="13"/>
    </row>
    <row r="54" spans="2:15" x14ac:dyDescent="0.2">
      <c r="B54" s="13"/>
      <c r="C54" s="13"/>
      <c r="D54" s="13"/>
      <c r="E54" s="13"/>
      <c r="F54" s="13"/>
      <c r="G54" s="13"/>
      <c r="H54" s="13"/>
      <c r="I54" s="13"/>
      <c r="J54" s="13"/>
      <c r="K54" s="13"/>
      <c r="L54" s="13"/>
      <c r="M54" s="13"/>
      <c r="N54" s="13"/>
      <c r="O54" s="13"/>
    </row>
    <row r="55" spans="2:15" x14ac:dyDescent="0.2">
      <c r="B55" s="13"/>
      <c r="C55" s="13"/>
      <c r="D55" s="13"/>
      <c r="E55" s="13"/>
      <c r="F55" s="13"/>
      <c r="G55" s="13"/>
      <c r="H55" s="13"/>
      <c r="I55" s="13"/>
      <c r="J55" s="13"/>
      <c r="K55" s="13"/>
      <c r="L55" s="13"/>
      <c r="M55" s="13"/>
      <c r="N55" s="13"/>
      <c r="O55" s="13"/>
    </row>
    <row r="56" spans="2:15" x14ac:dyDescent="0.2">
      <c r="B56" s="13"/>
      <c r="C56" s="13"/>
      <c r="D56" s="13"/>
      <c r="E56" s="13"/>
      <c r="F56" s="13"/>
      <c r="G56" s="13"/>
      <c r="H56" s="13"/>
      <c r="I56" s="13"/>
      <c r="J56" s="13"/>
      <c r="K56" s="13"/>
      <c r="L56" s="13"/>
      <c r="M56" s="13"/>
      <c r="N56" s="13"/>
      <c r="O56" s="13"/>
    </row>
    <row r="57" spans="2:15" x14ac:dyDescent="0.2">
      <c r="B57" s="13"/>
      <c r="C57" s="13"/>
      <c r="D57" s="13"/>
      <c r="E57" s="13"/>
      <c r="F57" s="13"/>
      <c r="G57" s="13"/>
      <c r="H57" s="13"/>
      <c r="I57" s="13"/>
      <c r="J57" s="13"/>
      <c r="K57" s="13"/>
      <c r="L57" s="13"/>
      <c r="M57" s="13"/>
      <c r="N57" s="13"/>
      <c r="O57" s="13"/>
    </row>
    <row r="58" spans="2:15" x14ac:dyDescent="0.2">
      <c r="B58" s="13"/>
      <c r="C58" s="13"/>
      <c r="D58" s="13"/>
      <c r="E58" s="13"/>
      <c r="F58" s="13"/>
      <c r="G58" s="13"/>
      <c r="H58" s="13"/>
      <c r="I58" s="13"/>
      <c r="J58" s="13"/>
      <c r="K58" s="13"/>
      <c r="L58" s="13"/>
      <c r="M58" s="13"/>
      <c r="N58" s="13"/>
      <c r="O58" s="13"/>
    </row>
    <row r="59" spans="2:15" x14ac:dyDescent="0.2">
      <c r="B59" s="13"/>
      <c r="C59" s="13"/>
      <c r="D59" s="13"/>
      <c r="E59" s="13"/>
      <c r="F59" s="13"/>
      <c r="G59" s="13"/>
      <c r="H59" s="13"/>
      <c r="I59" s="13"/>
      <c r="J59" s="13"/>
      <c r="K59" s="13"/>
      <c r="L59" s="13"/>
      <c r="M59" s="13"/>
      <c r="N59" s="13"/>
      <c r="O59" s="13"/>
    </row>
    <row r="60" spans="2:15" x14ac:dyDescent="0.2">
      <c r="B60" s="13"/>
      <c r="C60" s="13"/>
      <c r="D60" s="13"/>
      <c r="E60" s="13"/>
      <c r="F60" s="13"/>
      <c r="G60" s="13"/>
      <c r="H60" s="13"/>
      <c r="I60" s="13"/>
      <c r="J60" s="13"/>
      <c r="K60" s="13"/>
      <c r="L60" s="13"/>
      <c r="M60" s="13"/>
      <c r="N60" s="13"/>
      <c r="O60" s="13"/>
    </row>
    <row r="61" spans="2:15" x14ac:dyDescent="0.2">
      <c r="B61" s="13"/>
      <c r="C61" s="13"/>
      <c r="D61" s="13"/>
      <c r="E61" s="13"/>
      <c r="F61" s="13"/>
      <c r="G61" s="13"/>
      <c r="H61" s="13"/>
      <c r="I61" s="13"/>
      <c r="J61" s="13"/>
      <c r="K61" s="13"/>
      <c r="L61" s="13"/>
      <c r="M61" s="13"/>
      <c r="N61" s="13"/>
      <c r="O61" s="13"/>
    </row>
    <row r="62" spans="2:15" x14ac:dyDescent="0.2">
      <c r="B62" s="13"/>
      <c r="C62" s="13"/>
      <c r="D62" s="13"/>
      <c r="E62" s="13"/>
      <c r="F62" s="13"/>
      <c r="G62" s="13"/>
      <c r="H62" s="13"/>
      <c r="I62" s="13"/>
      <c r="J62" s="13"/>
      <c r="K62" s="13"/>
      <c r="L62" s="13"/>
      <c r="M62" s="13"/>
      <c r="N62" s="13"/>
      <c r="O62" s="13"/>
    </row>
    <row r="63" spans="2:15" x14ac:dyDescent="0.2">
      <c r="B63" s="13"/>
      <c r="C63" s="13"/>
      <c r="D63" s="13"/>
      <c r="E63" s="13"/>
      <c r="F63" s="13"/>
      <c r="G63" s="13"/>
      <c r="H63" s="13"/>
      <c r="I63" s="13"/>
      <c r="J63" s="13"/>
      <c r="K63" s="13"/>
      <c r="L63" s="13"/>
      <c r="M63" s="13"/>
      <c r="N63" s="13"/>
      <c r="O63" s="13"/>
    </row>
    <row r="64" spans="2:15" x14ac:dyDescent="0.2">
      <c r="B64" s="13"/>
      <c r="C64" s="13"/>
      <c r="D64" s="13"/>
      <c r="E64" s="13"/>
      <c r="F64" s="13"/>
      <c r="G64" s="13"/>
      <c r="H64" s="13"/>
      <c r="I64" s="13"/>
      <c r="J64" s="13"/>
      <c r="K64" s="13"/>
      <c r="L64" s="13"/>
      <c r="M64" s="13"/>
      <c r="N64" s="13"/>
      <c r="O64" s="13"/>
    </row>
    <row r="65" spans="2:15" x14ac:dyDescent="0.2">
      <c r="B65" s="13"/>
      <c r="C65" s="13"/>
      <c r="D65" s="13"/>
      <c r="E65" s="13"/>
      <c r="F65" s="13"/>
      <c r="G65" s="13"/>
      <c r="H65" s="13"/>
      <c r="I65" s="13"/>
      <c r="J65" s="13"/>
      <c r="K65" s="13"/>
      <c r="L65" s="13"/>
      <c r="M65" s="13"/>
      <c r="N65" s="13"/>
      <c r="O65" s="13"/>
    </row>
    <row r="66" spans="2:15" x14ac:dyDescent="0.2">
      <c r="B66" s="13"/>
      <c r="C66" s="13"/>
      <c r="D66" s="13"/>
      <c r="E66" s="13"/>
      <c r="F66" s="13"/>
      <c r="G66" s="13"/>
      <c r="H66" s="13"/>
      <c r="I66" s="13"/>
      <c r="J66" s="13"/>
      <c r="K66" s="13"/>
      <c r="L66" s="13"/>
      <c r="M66" s="13"/>
      <c r="N66" s="13"/>
      <c r="O66" s="13"/>
    </row>
    <row r="67" spans="2:15" x14ac:dyDescent="0.2">
      <c r="B67" s="13"/>
      <c r="C67" s="13"/>
      <c r="D67" s="13"/>
      <c r="E67" s="13"/>
      <c r="F67" s="13"/>
      <c r="G67" s="13"/>
      <c r="H67" s="13"/>
      <c r="I67" s="13"/>
      <c r="J67" s="13"/>
      <c r="K67" s="13"/>
      <c r="L67" s="13"/>
      <c r="M67" s="13"/>
      <c r="N67" s="13"/>
      <c r="O67" s="13"/>
    </row>
    <row r="68" spans="2:15" x14ac:dyDescent="0.2">
      <c r="B68" s="13"/>
      <c r="C68" s="13"/>
      <c r="D68" s="13"/>
      <c r="E68" s="13"/>
      <c r="F68" s="13"/>
      <c r="G68" s="13"/>
      <c r="H68" s="13"/>
      <c r="I68" s="13"/>
      <c r="J68" s="13"/>
      <c r="K68" s="13"/>
      <c r="L68" s="13"/>
      <c r="M68" s="13"/>
      <c r="N68" s="13"/>
      <c r="O68" s="13"/>
    </row>
    <row r="69" spans="2:15" x14ac:dyDescent="0.2">
      <c r="B69" s="13"/>
      <c r="C69" s="13"/>
      <c r="D69" s="13"/>
      <c r="E69" s="13"/>
      <c r="F69" s="13"/>
      <c r="G69" s="13"/>
      <c r="H69" s="13"/>
      <c r="I69" s="13"/>
      <c r="J69" s="13"/>
      <c r="K69" s="13"/>
      <c r="L69" s="13"/>
      <c r="M69" s="13"/>
      <c r="N69" s="13"/>
      <c r="O69" s="13"/>
    </row>
    <row r="70" spans="2:15" x14ac:dyDescent="0.2">
      <c r="B70" s="13"/>
      <c r="C70" s="13"/>
      <c r="D70" s="13"/>
      <c r="E70" s="13"/>
      <c r="F70" s="13"/>
      <c r="G70" s="13"/>
      <c r="H70" s="13"/>
      <c r="I70" s="13"/>
      <c r="J70" s="13"/>
      <c r="K70" s="13"/>
      <c r="L70" s="13"/>
      <c r="M70" s="13"/>
      <c r="N70" s="13"/>
      <c r="O70" s="13"/>
    </row>
    <row r="71" spans="2:15" x14ac:dyDescent="0.2">
      <c r="B71" s="13"/>
      <c r="C71" s="13"/>
      <c r="D71" s="13"/>
      <c r="E71" s="13"/>
      <c r="F71" s="13"/>
      <c r="G71" s="13"/>
      <c r="H71" s="13"/>
      <c r="I71" s="13"/>
      <c r="J71" s="13"/>
      <c r="K71" s="13"/>
      <c r="L71" s="13"/>
      <c r="M71" s="13"/>
      <c r="N71" s="13"/>
      <c r="O71" s="13"/>
    </row>
    <row r="72" spans="2:15" x14ac:dyDescent="0.2">
      <c r="B72" s="13"/>
      <c r="C72" s="13"/>
      <c r="D72" s="13"/>
      <c r="E72" s="13"/>
      <c r="F72" s="13"/>
      <c r="G72" s="13"/>
      <c r="H72" s="13"/>
      <c r="I72" s="13"/>
      <c r="J72" s="13"/>
      <c r="K72" s="13"/>
      <c r="L72" s="13"/>
      <c r="M72" s="13"/>
      <c r="N72" s="13"/>
      <c r="O72" s="13"/>
    </row>
    <row r="73" spans="2:15" x14ac:dyDescent="0.2">
      <c r="B73" s="13"/>
      <c r="C73" s="13"/>
      <c r="D73" s="13"/>
      <c r="E73" s="13"/>
      <c r="F73" s="13"/>
      <c r="G73" s="13"/>
      <c r="H73" s="13"/>
      <c r="I73" s="13"/>
      <c r="J73" s="13"/>
      <c r="K73" s="13"/>
      <c r="L73" s="13"/>
      <c r="M73" s="13"/>
      <c r="N73" s="13"/>
      <c r="O73" s="13"/>
    </row>
    <row r="74" spans="2:15" x14ac:dyDescent="0.2">
      <c r="B74" s="13"/>
      <c r="C74" s="13"/>
      <c r="D74" s="13"/>
      <c r="E74" s="13"/>
      <c r="F74" s="13"/>
      <c r="G74" s="13"/>
      <c r="H74" s="13"/>
      <c r="I74" s="13"/>
      <c r="J74" s="13"/>
      <c r="K74" s="13"/>
      <c r="L74" s="13"/>
      <c r="M74" s="13"/>
      <c r="N74" s="13"/>
      <c r="O74" s="13"/>
    </row>
    <row r="75" spans="2:15" x14ac:dyDescent="0.2">
      <c r="B75" s="13"/>
      <c r="C75" s="13"/>
      <c r="D75" s="13"/>
      <c r="E75" s="13"/>
      <c r="F75" s="13"/>
      <c r="G75" s="13"/>
      <c r="H75" s="13"/>
      <c r="I75" s="13"/>
      <c r="J75" s="13"/>
      <c r="K75" s="13"/>
      <c r="L75" s="13"/>
      <c r="M75" s="13"/>
      <c r="N75" s="13"/>
      <c r="O75" s="13"/>
    </row>
    <row r="76" spans="2:15" x14ac:dyDescent="0.2">
      <c r="B76" s="13"/>
      <c r="C76" s="13"/>
      <c r="D76" s="13"/>
      <c r="E76" s="13"/>
      <c r="F76" s="13"/>
      <c r="G76" s="13"/>
      <c r="H76" s="13"/>
      <c r="I76" s="13"/>
      <c r="J76" s="13"/>
      <c r="K76" s="13"/>
      <c r="L76" s="13"/>
      <c r="M76" s="13"/>
      <c r="N76" s="13"/>
      <c r="O76" s="13"/>
    </row>
    <row r="77" spans="2:15" x14ac:dyDescent="0.2">
      <c r="B77" s="13"/>
      <c r="C77" s="13"/>
      <c r="D77" s="13"/>
      <c r="E77" s="13"/>
      <c r="F77" s="13"/>
      <c r="G77" s="13"/>
      <c r="H77" s="13"/>
      <c r="I77" s="13"/>
      <c r="J77" s="13"/>
      <c r="K77" s="13"/>
      <c r="L77" s="13"/>
      <c r="M77" s="13"/>
      <c r="N77" s="13"/>
      <c r="O77" s="13"/>
    </row>
    <row r="78" spans="2:15" x14ac:dyDescent="0.2">
      <c r="B78" s="13"/>
      <c r="C78" s="13"/>
      <c r="D78" s="13"/>
      <c r="E78" s="13"/>
      <c r="F78" s="13"/>
      <c r="G78" s="13"/>
      <c r="H78" s="13"/>
      <c r="I78" s="13"/>
      <c r="J78" s="13"/>
      <c r="K78" s="13"/>
      <c r="L78" s="13"/>
      <c r="M78" s="13"/>
      <c r="N78" s="13"/>
      <c r="O78" s="13"/>
    </row>
    <row r="79" spans="2:15" x14ac:dyDescent="0.2">
      <c r="B79" s="13"/>
      <c r="C79" s="13"/>
      <c r="D79" s="13"/>
      <c r="E79" s="13"/>
      <c r="F79" s="13"/>
      <c r="G79" s="13"/>
      <c r="H79" s="13"/>
      <c r="I79" s="13"/>
      <c r="J79" s="13"/>
      <c r="K79" s="13"/>
      <c r="L79" s="13"/>
      <c r="M79" s="13"/>
      <c r="N79" s="13"/>
      <c r="O79" s="13"/>
    </row>
    <row r="80" spans="2:15" x14ac:dyDescent="0.2">
      <c r="B80" s="13"/>
      <c r="C80" s="13"/>
      <c r="D80" s="13"/>
      <c r="E80" s="13"/>
      <c r="F80" s="13"/>
      <c r="G80" s="13"/>
      <c r="H80" s="13"/>
      <c r="I80" s="13"/>
      <c r="J80" s="13"/>
      <c r="K80" s="13"/>
      <c r="L80" s="13"/>
      <c r="M80" s="13"/>
      <c r="N80" s="13"/>
      <c r="O80" s="13"/>
    </row>
    <row r="81" spans="2:15" x14ac:dyDescent="0.2">
      <c r="B81" s="13"/>
      <c r="C81" s="13"/>
      <c r="D81" s="13"/>
      <c r="E81" s="13"/>
      <c r="F81" s="13"/>
      <c r="G81" s="13"/>
      <c r="H81" s="13"/>
      <c r="I81" s="13"/>
      <c r="J81" s="13"/>
      <c r="K81" s="13"/>
      <c r="L81" s="13"/>
      <c r="M81" s="13"/>
      <c r="N81" s="13"/>
      <c r="O81" s="13"/>
    </row>
    <row r="82" spans="2:15" x14ac:dyDescent="0.2">
      <c r="B82" s="13"/>
      <c r="C82" s="13"/>
      <c r="D82" s="13"/>
      <c r="E82" s="13"/>
      <c r="F82" s="13"/>
      <c r="G82" s="13"/>
      <c r="H82" s="13"/>
      <c r="I82" s="13"/>
      <c r="J82" s="13"/>
      <c r="K82" s="13"/>
      <c r="L82" s="13"/>
      <c r="M82" s="13"/>
      <c r="N82" s="13"/>
      <c r="O82" s="13"/>
    </row>
    <row r="83" spans="2:15" x14ac:dyDescent="0.2">
      <c r="B83" s="13"/>
      <c r="C83" s="13"/>
      <c r="D83" s="13"/>
      <c r="E83" s="13"/>
      <c r="F83" s="13"/>
      <c r="G83" s="13"/>
      <c r="H83" s="13"/>
      <c r="I83" s="13"/>
      <c r="J83" s="13"/>
      <c r="K83" s="13"/>
      <c r="L83" s="13"/>
      <c r="M83" s="13"/>
      <c r="N83" s="13"/>
      <c r="O83" s="13"/>
    </row>
    <row r="84" spans="2:15" x14ac:dyDescent="0.2">
      <c r="B84" s="13"/>
      <c r="C84" s="13"/>
      <c r="D84" s="13"/>
      <c r="E84" s="13"/>
      <c r="F84" s="13"/>
      <c r="G84" s="13"/>
      <c r="H84" s="13"/>
      <c r="I84" s="13"/>
      <c r="J84" s="13"/>
      <c r="K84" s="13"/>
      <c r="L84" s="13"/>
      <c r="M84" s="13"/>
      <c r="N84" s="13"/>
      <c r="O84" s="13"/>
    </row>
    <row r="85" spans="2:15" x14ac:dyDescent="0.2">
      <c r="B85" s="13"/>
      <c r="C85" s="13"/>
      <c r="D85" s="13"/>
      <c r="E85" s="13"/>
      <c r="F85" s="13"/>
      <c r="G85" s="13"/>
      <c r="H85" s="13"/>
      <c r="I85" s="13"/>
      <c r="J85" s="13"/>
      <c r="K85" s="13"/>
      <c r="L85" s="13"/>
      <c r="M85" s="13"/>
      <c r="N85" s="13"/>
      <c r="O85" s="13"/>
    </row>
    <row r="86" spans="2:15" x14ac:dyDescent="0.2">
      <c r="B86" s="13"/>
      <c r="C86" s="13"/>
      <c r="D86" s="13"/>
      <c r="E86" s="13"/>
      <c r="F86" s="13"/>
      <c r="G86" s="13"/>
      <c r="H86" s="13"/>
      <c r="I86" s="13"/>
      <c r="J86" s="13"/>
      <c r="K86" s="13"/>
      <c r="L86" s="13"/>
      <c r="M86" s="13"/>
      <c r="N86" s="13"/>
      <c r="O86" s="13"/>
    </row>
    <row r="87" spans="2:15" x14ac:dyDescent="0.2">
      <c r="B87" s="13"/>
      <c r="C87" s="13"/>
      <c r="D87" s="13"/>
      <c r="E87" s="13"/>
      <c r="F87" s="13"/>
      <c r="G87" s="13"/>
      <c r="H87" s="13"/>
      <c r="I87" s="13"/>
      <c r="J87" s="13"/>
      <c r="K87" s="13"/>
      <c r="L87" s="13"/>
      <c r="M87" s="13"/>
      <c r="N87" s="13"/>
      <c r="O87" s="13"/>
    </row>
    <row r="88" spans="2:15" x14ac:dyDescent="0.2">
      <c r="B88" s="13"/>
      <c r="C88" s="13"/>
      <c r="D88" s="13"/>
      <c r="E88" s="13"/>
      <c r="F88" s="13"/>
      <c r="G88" s="13"/>
      <c r="H88" s="13"/>
      <c r="I88" s="13"/>
      <c r="J88" s="13"/>
      <c r="K88" s="13"/>
      <c r="L88" s="13"/>
      <c r="M88" s="13"/>
      <c r="N88" s="13"/>
      <c r="O88" s="13"/>
    </row>
    <row r="89" spans="2:15" x14ac:dyDescent="0.2">
      <c r="B89" s="13"/>
      <c r="C89" s="13"/>
      <c r="D89" s="13"/>
      <c r="E89" s="13"/>
      <c r="F89" s="13"/>
      <c r="G89" s="13"/>
      <c r="H89" s="13"/>
      <c r="I89" s="13"/>
      <c r="J89" s="13"/>
      <c r="K89" s="13"/>
      <c r="L89" s="13"/>
      <c r="M89" s="13"/>
      <c r="N89" s="13"/>
      <c r="O89" s="13"/>
    </row>
    <row r="90" spans="2:15" x14ac:dyDescent="0.2">
      <c r="B90" s="13"/>
      <c r="C90" s="13"/>
      <c r="D90" s="13"/>
      <c r="E90" s="13"/>
      <c r="F90" s="13"/>
      <c r="G90" s="13"/>
      <c r="H90" s="13"/>
      <c r="I90" s="13"/>
      <c r="J90" s="13"/>
      <c r="K90" s="13"/>
      <c r="L90" s="13"/>
      <c r="M90" s="13"/>
      <c r="N90" s="13"/>
      <c r="O90" s="13"/>
    </row>
    <row r="91" spans="2:15" x14ac:dyDescent="0.2">
      <c r="B91" s="13"/>
      <c r="C91" s="13"/>
      <c r="D91" s="13"/>
      <c r="E91" s="13"/>
      <c r="F91" s="13"/>
      <c r="G91" s="13"/>
      <c r="H91" s="13"/>
      <c r="I91" s="13"/>
      <c r="J91" s="13"/>
      <c r="K91" s="13"/>
      <c r="L91" s="13"/>
      <c r="M91" s="13"/>
      <c r="N91" s="13"/>
      <c r="O91" s="13"/>
    </row>
    <row r="92" spans="2:15" x14ac:dyDescent="0.2">
      <c r="B92" s="13"/>
      <c r="C92" s="13"/>
      <c r="D92" s="13"/>
      <c r="E92" s="13"/>
      <c r="F92" s="13"/>
      <c r="G92" s="13"/>
      <c r="H92" s="13"/>
      <c r="I92" s="13"/>
      <c r="J92" s="13"/>
      <c r="K92" s="13"/>
      <c r="L92" s="13"/>
      <c r="M92" s="13"/>
      <c r="N92" s="13"/>
      <c r="O92" s="13"/>
    </row>
    <row r="93" spans="2:15" x14ac:dyDescent="0.2">
      <c r="B93" s="13"/>
      <c r="C93" s="13"/>
      <c r="D93" s="13"/>
      <c r="E93" s="13"/>
      <c r="F93" s="13"/>
      <c r="G93" s="13"/>
      <c r="H93" s="13"/>
      <c r="I93" s="13"/>
      <c r="J93" s="13"/>
      <c r="K93" s="13"/>
      <c r="L93" s="13"/>
      <c r="M93" s="13"/>
      <c r="N93" s="13"/>
      <c r="O93" s="13"/>
    </row>
    <row r="94" spans="2:15" x14ac:dyDescent="0.2">
      <c r="B94" s="13"/>
      <c r="C94" s="13"/>
      <c r="D94" s="13"/>
      <c r="E94" s="13"/>
      <c r="F94" s="13"/>
      <c r="G94" s="13"/>
      <c r="H94" s="13"/>
      <c r="I94" s="13"/>
      <c r="J94" s="13"/>
      <c r="K94" s="13"/>
      <c r="L94" s="13"/>
      <c r="M94" s="13"/>
      <c r="N94" s="13"/>
      <c r="O94" s="13"/>
    </row>
    <row r="95" spans="2:15" x14ac:dyDescent="0.2">
      <c r="B95" s="13"/>
      <c r="C95" s="13"/>
      <c r="D95" s="13"/>
      <c r="E95" s="13"/>
      <c r="F95" s="13"/>
      <c r="G95" s="13"/>
      <c r="H95" s="13"/>
      <c r="I95" s="13"/>
      <c r="J95" s="13"/>
      <c r="K95" s="13"/>
      <c r="L95" s="13"/>
      <c r="M95" s="13"/>
      <c r="N95" s="13"/>
      <c r="O95" s="13"/>
    </row>
    <row r="96" spans="2:15" x14ac:dyDescent="0.2">
      <c r="B96" s="13"/>
      <c r="C96" s="13"/>
      <c r="D96" s="13"/>
      <c r="E96" s="13"/>
      <c r="F96" s="13"/>
      <c r="G96" s="13"/>
      <c r="H96" s="13"/>
      <c r="I96" s="13"/>
      <c r="J96" s="13"/>
      <c r="K96" s="13"/>
      <c r="L96" s="13"/>
      <c r="M96" s="13"/>
      <c r="N96" s="13"/>
      <c r="O96" s="13"/>
    </row>
    <row r="97" spans="2:15" x14ac:dyDescent="0.2">
      <c r="B97" s="13"/>
      <c r="C97" s="13"/>
      <c r="D97" s="13"/>
      <c r="E97" s="13"/>
      <c r="F97" s="13"/>
      <c r="G97" s="13"/>
      <c r="H97" s="13"/>
      <c r="I97" s="13"/>
      <c r="J97" s="13"/>
      <c r="K97" s="13"/>
      <c r="L97" s="13"/>
      <c r="M97" s="13"/>
      <c r="N97" s="13"/>
      <c r="O97" s="13"/>
    </row>
    <row r="98" spans="2:15" x14ac:dyDescent="0.2">
      <c r="B98" s="13"/>
      <c r="C98" s="13"/>
      <c r="D98" s="13"/>
      <c r="E98" s="13"/>
      <c r="F98" s="13"/>
      <c r="G98" s="13"/>
      <c r="H98" s="13"/>
      <c r="I98" s="13"/>
      <c r="J98" s="13"/>
      <c r="K98" s="13"/>
      <c r="L98" s="13"/>
      <c r="M98" s="13"/>
      <c r="N98" s="13"/>
      <c r="O98" s="13"/>
    </row>
    <row r="99" spans="2:15" x14ac:dyDescent="0.2">
      <c r="B99" s="13"/>
      <c r="C99" s="13"/>
      <c r="D99" s="13"/>
      <c r="E99" s="13"/>
      <c r="F99" s="13"/>
      <c r="G99" s="13"/>
      <c r="H99" s="13"/>
      <c r="I99" s="13"/>
      <c r="J99" s="13"/>
      <c r="K99" s="13"/>
      <c r="L99" s="13"/>
      <c r="M99" s="13"/>
      <c r="N99" s="13"/>
      <c r="O99" s="13"/>
    </row>
    <row r="100" spans="2:15" x14ac:dyDescent="0.2">
      <c r="B100" s="13"/>
      <c r="C100" s="13"/>
      <c r="D100" s="13"/>
      <c r="E100" s="13"/>
      <c r="F100" s="13"/>
      <c r="G100" s="13"/>
      <c r="H100" s="13"/>
      <c r="I100" s="13"/>
      <c r="J100" s="13"/>
      <c r="K100" s="13"/>
      <c r="L100" s="13"/>
      <c r="M100" s="13"/>
      <c r="N100" s="13"/>
      <c r="O100" s="13"/>
    </row>
    <row r="101" spans="2:15" x14ac:dyDescent="0.2">
      <c r="B101" s="13"/>
      <c r="C101" s="13"/>
      <c r="D101" s="13"/>
      <c r="E101" s="13"/>
      <c r="F101" s="13"/>
      <c r="G101" s="13"/>
      <c r="H101" s="13"/>
      <c r="I101" s="13"/>
      <c r="J101" s="13"/>
      <c r="K101" s="13"/>
      <c r="L101" s="13"/>
      <c r="M101" s="13"/>
      <c r="N101" s="13"/>
      <c r="O101" s="13"/>
    </row>
    <row r="102" spans="2:15" x14ac:dyDescent="0.2">
      <c r="B102" s="13"/>
      <c r="C102" s="13"/>
      <c r="D102" s="13"/>
      <c r="E102" s="13"/>
      <c r="F102" s="13"/>
      <c r="G102" s="13"/>
      <c r="H102" s="13"/>
      <c r="I102" s="13"/>
      <c r="J102" s="13"/>
      <c r="K102" s="13"/>
      <c r="L102" s="13"/>
      <c r="M102" s="13"/>
      <c r="N102" s="13"/>
      <c r="O102" s="13"/>
    </row>
    <row r="103" spans="2:15" x14ac:dyDescent="0.2">
      <c r="B103" s="13"/>
      <c r="C103" s="13"/>
      <c r="D103" s="13"/>
      <c r="E103" s="13"/>
      <c r="F103" s="13"/>
      <c r="G103" s="13"/>
      <c r="H103" s="13"/>
      <c r="I103" s="13"/>
      <c r="J103" s="13"/>
      <c r="K103" s="13"/>
      <c r="L103" s="13"/>
      <c r="M103" s="13"/>
      <c r="N103" s="13"/>
      <c r="O103" s="13"/>
    </row>
    <row r="104" spans="2:15" x14ac:dyDescent="0.2">
      <c r="B104" s="13"/>
      <c r="C104" s="13"/>
      <c r="D104" s="13"/>
      <c r="E104" s="13"/>
      <c r="F104" s="13"/>
      <c r="G104" s="13"/>
      <c r="H104" s="13"/>
      <c r="I104" s="13"/>
      <c r="J104" s="13"/>
      <c r="K104" s="13"/>
      <c r="L104" s="13"/>
      <c r="M104" s="13"/>
      <c r="N104" s="13"/>
      <c r="O104" s="13"/>
    </row>
    <row r="105" spans="2:15" x14ac:dyDescent="0.2">
      <c r="B105" s="13"/>
      <c r="C105" s="13"/>
      <c r="D105" s="13"/>
      <c r="E105" s="13"/>
      <c r="F105" s="13"/>
      <c r="G105" s="13"/>
      <c r="H105" s="13"/>
      <c r="I105" s="13"/>
      <c r="J105" s="13"/>
      <c r="K105" s="13"/>
      <c r="L105" s="13"/>
      <c r="M105" s="13"/>
      <c r="N105" s="13"/>
      <c r="O105" s="13"/>
    </row>
    <row r="106" spans="2:15" x14ac:dyDescent="0.2">
      <c r="B106" s="13"/>
      <c r="C106" s="13"/>
      <c r="D106" s="13"/>
      <c r="E106" s="13"/>
      <c r="F106" s="13"/>
      <c r="G106" s="13"/>
      <c r="H106" s="13"/>
      <c r="I106" s="13"/>
      <c r="J106" s="13"/>
      <c r="K106" s="13"/>
      <c r="L106" s="13"/>
      <c r="M106" s="13"/>
      <c r="N106" s="13"/>
      <c r="O106" s="13"/>
    </row>
    <row r="107" spans="2:15" x14ac:dyDescent="0.2">
      <c r="B107" s="13"/>
      <c r="C107" s="13"/>
      <c r="D107" s="13"/>
      <c r="E107" s="13"/>
      <c r="F107" s="13"/>
      <c r="G107" s="13"/>
      <c r="H107" s="13"/>
      <c r="I107" s="13"/>
      <c r="J107" s="13"/>
      <c r="K107" s="13"/>
      <c r="L107" s="13"/>
      <c r="M107" s="13"/>
      <c r="N107" s="13"/>
      <c r="O107" s="13"/>
    </row>
    <row r="108" spans="2:15" x14ac:dyDescent="0.2">
      <c r="B108" s="13"/>
      <c r="C108" s="13"/>
      <c r="D108" s="13"/>
      <c r="E108" s="13"/>
      <c r="F108" s="13"/>
      <c r="G108" s="13"/>
      <c r="H108" s="13"/>
      <c r="I108" s="13"/>
      <c r="J108" s="13"/>
      <c r="K108" s="13"/>
      <c r="L108" s="13"/>
      <c r="M108" s="13"/>
      <c r="N108" s="13"/>
      <c r="O108" s="13"/>
    </row>
    <row r="109" spans="2:15" x14ac:dyDescent="0.2">
      <c r="B109" s="13"/>
      <c r="C109" s="13"/>
      <c r="D109" s="13"/>
      <c r="E109" s="13"/>
      <c r="F109" s="13"/>
      <c r="G109" s="13"/>
      <c r="H109" s="13"/>
      <c r="I109" s="13"/>
      <c r="J109" s="13"/>
      <c r="K109" s="13"/>
      <c r="L109" s="13"/>
      <c r="M109" s="13"/>
      <c r="N109" s="13"/>
      <c r="O109" s="13"/>
    </row>
    <row r="110" spans="2:15" x14ac:dyDescent="0.2">
      <c r="B110" s="13"/>
      <c r="C110" s="13"/>
      <c r="D110" s="13"/>
      <c r="E110" s="13"/>
      <c r="F110" s="13"/>
      <c r="G110" s="13"/>
      <c r="H110" s="13"/>
      <c r="I110" s="13"/>
      <c r="J110" s="13"/>
      <c r="K110" s="13"/>
      <c r="L110" s="13"/>
      <c r="M110" s="13"/>
      <c r="N110" s="13"/>
      <c r="O110" s="13"/>
    </row>
    <row r="111" spans="2:15" x14ac:dyDescent="0.2">
      <c r="B111" s="13"/>
      <c r="C111" s="13"/>
      <c r="D111" s="13"/>
      <c r="E111" s="13"/>
      <c r="F111" s="13"/>
      <c r="G111" s="13"/>
      <c r="H111" s="13"/>
      <c r="I111" s="13"/>
      <c r="J111" s="13"/>
      <c r="K111" s="13"/>
      <c r="L111" s="13"/>
      <c r="M111" s="13"/>
      <c r="N111" s="13"/>
      <c r="O111" s="13"/>
    </row>
    <row r="112" spans="2:15" x14ac:dyDescent="0.2">
      <c r="B112" s="13"/>
      <c r="C112" s="13"/>
      <c r="D112" s="13"/>
      <c r="E112" s="13"/>
      <c r="F112" s="13"/>
      <c r="G112" s="13"/>
      <c r="H112" s="13"/>
      <c r="I112" s="13"/>
      <c r="J112" s="13"/>
      <c r="K112" s="13"/>
      <c r="L112" s="13"/>
      <c r="M112" s="13"/>
      <c r="N112" s="13"/>
      <c r="O112" s="13"/>
    </row>
    <row r="113" spans="2:15" x14ac:dyDescent="0.2">
      <c r="B113" s="13"/>
      <c r="C113" s="13"/>
      <c r="D113" s="13"/>
      <c r="E113" s="13"/>
      <c r="F113" s="13"/>
      <c r="G113" s="13"/>
      <c r="H113" s="13"/>
      <c r="I113" s="13"/>
      <c r="J113" s="13"/>
      <c r="K113" s="13"/>
      <c r="L113" s="13"/>
      <c r="M113" s="13"/>
      <c r="N113" s="13"/>
      <c r="O113" s="13"/>
    </row>
    <row r="114" spans="2:15" x14ac:dyDescent="0.2">
      <c r="B114" s="13"/>
      <c r="C114" s="13"/>
      <c r="D114" s="13"/>
      <c r="E114" s="13"/>
      <c r="F114" s="13"/>
      <c r="G114" s="13"/>
      <c r="H114" s="13"/>
      <c r="I114" s="13"/>
      <c r="J114" s="13"/>
      <c r="K114" s="13"/>
      <c r="L114" s="13"/>
      <c r="M114" s="13"/>
      <c r="N114" s="13"/>
      <c r="O114" s="13"/>
    </row>
    <row r="115" spans="2:15" x14ac:dyDescent="0.2">
      <c r="B115" s="13"/>
      <c r="C115" s="13"/>
      <c r="D115" s="13"/>
      <c r="E115" s="13"/>
      <c r="F115" s="13"/>
      <c r="G115" s="13"/>
      <c r="H115" s="13"/>
      <c r="I115" s="13"/>
      <c r="J115" s="13"/>
      <c r="K115" s="13"/>
      <c r="L115" s="13"/>
      <c r="M115" s="13"/>
      <c r="N115" s="13"/>
      <c r="O115" s="13"/>
    </row>
    <row r="116" spans="2:15" x14ac:dyDescent="0.2">
      <c r="B116" s="13"/>
      <c r="C116" s="13"/>
      <c r="D116" s="13"/>
      <c r="E116" s="13"/>
      <c r="F116" s="13"/>
      <c r="G116" s="13"/>
      <c r="H116" s="13"/>
      <c r="I116" s="13"/>
      <c r="J116" s="13"/>
      <c r="K116" s="13"/>
      <c r="L116" s="13"/>
      <c r="M116" s="13"/>
      <c r="N116" s="13"/>
      <c r="O116" s="13"/>
    </row>
    <row r="117" spans="2:15" x14ac:dyDescent="0.2">
      <c r="B117" s="13"/>
      <c r="C117" s="13"/>
      <c r="D117" s="13"/>
      <c r="E117" s="13"/>
      <c r="F117" s="13"/>
      <c r="G117" s="13"/>
      <c r="H117" s="13"/>
      <c r="I117" s="13"/>
      <c r="J117" s="13"/>
      <c r="K117" s="13"/>
      <c r="L117" s="13"/>
      <c r="M117" s="13"/>
      <c r="N117" s="13"/>
      <c r="O117" s="13"/>
    </row>
    <row r="118" spans="2:15" x14ac:dyDescent="0.2">
      <c r="B118" s="13"/>
      <c r="C118" s="13"/>
      <c r="D118" s="13"/>
      <c r="E118" s="13"/>
      <c r="F118" s="13"/>
      <c r="G118" s="13"/>
      <c r="H118" s="13"/>
      <c r="I118" s="13"/>
      <c r="J118" s="13"/>
      <c r="K118" s="13"/>
      <c r="L118" s="13"/>
      <c r="M118" s="13"/>
      <c r="N118" s="13"/>
      <c r="O118" s="13"/>
    </row>
    <row r="119" spans="2:15" x14ac:dyDescent="0.2">
      <c r="B119" s="13"/>
      <c r="C119" s="13"/>
      <c r="D119" s="13"/>
      <c r="E119" s="13"/>
      <c r="F119" s="13"/>
      <c r="G119" s="13"/>
      <c r="H119" s="13"/>
      <c r="I119" s="13"/>
      <c r="J119" s="13"/>
      <c r="K119" s="13"/>
      <c r="L119" s="13"/>
      <c r="M119" s="13"/>
      <c r="N119" s="13"/>
      <c r="O119" s="13"/>
    </row>
    <row r="120" spans="2:15" x14ac:dyDescent="0.2">
      <c r="B120" s="13"/>
      <c r="C120" s="13"/>
      <c r="D120" s="13"/>
      <c r="E120" s="13"/>
      <c r="F120" s="13"/>
      <c r="G120" s="13"/>
      <c r="H120" s="13"/>
      <c r="I120" s="13"/>
      <c r="J120" s="13"/>
      <c r="K120" s="13"/>
      <c r="L120" s="13"/>
      <c r="M120" s="13"/>
      <c r="N120" s="13"/>
      <c r="O120" s="13"/>
    </row>
    <row r="121" spans="2:15" x14ac:dyDescent="0.2">
      <c r="B121" s="13"/>
      <c r="C121" s="13"/>
      <c r="D121" s="13"/>
      <c r="E121" s="13"/>
      <c r="F121" s="13"/>
      <c r="G121" s="13"/>
      <c r="H121" s="13"/>
      <c r="I121" s="13"/>
      <c r="J121" s="13"/>
      <c r="K121" s="13"/>
      <c r="L121" s="13"/>
      <c r="M121" s="13"/>
      <c r="N121" s="13"/>
      <c r="O121" s="13"/>
    </row>
    <row r="122" spans="2:15" x14ac:dyDescent="0.2">
      <c r="B122" s="13"/>
      <c r="C122" s="13"/>
      <c r="D122" s="13"/>
      <c r="E122" s="13"/>
      <c r="F122" s="13"/>
      <c r="G122" s="13"/>
      <c r="H122" s="13"/>
      <c r="I122" s="13"/>
      <c r="J122" s="13"/>
      <c r="K122" s="13"/>
      <c r="L122" s="13"/>
      <c r="M122" s="13"/>
      <c r="N122" s="13"/>
      <c r="O122" s="13"/>
    </row>
    <row r="123" spans="2:15" x14ac:dyDescent="0.2">
      <c r="B123" s="13"/>
      <c r="C123" s="13"/>
      <c r="D123" s="13"/>
      <c r="E123" s="13"/>
      <c r="F123" s="13"/>
      <c r="G123" s="13"/>
      <c r="H123" s="13"/>
      <c r="I123" s="13"/>
      <c r="J123" s="13"/>
      <c r="K123" s="13"/>
      <c r="L123" s="13"/>
      <c r="M123" s="13"/>
      <c r="N123" s="13"/>
      <c r="O123" s="13"/>
    </row>
    <row r="124" spans="2:15" x14ac:dyDescent="0.2">
      <c r="B124" s="13"/>
      <c r="C124" s="13"/>
      <c r="D124" s="13"/>
      <c r="E124" s="13"/>
      <c r="F124" s="13"/>
      <c r="G124" s="13"/>
      <c r="H124" s="13"/>
      <c r="I124" s="13"/>
      <c r="J124" s="13"/>
      <c r="K124" s="13"/>
      <c r="L124" s="13"/>
      <c r="M124" s="13"/>
      <c r="N124" s="13"/>
      <c r="O124" s="13"/>
    </row>
    <row r="125" spans="2:15" x14ac:dyDescent="0.2">
      <c r="B125" s="13"/>
      <c r="C125" s="13"/>
      <c r="D125" s="13"/>
      <c r="E125" s="13"/>
      <c r="F125" s="13"/>
      <c r="G125" s="13"/>
      <c r="H125" s="13"/>
      <c r="I125" s="13"/>
      <c r="J125" s="13"/>
      <c r="K125" s="13"/>
      <c r="L125" s="13"/>
      <c r="M125" s="13"/>
      <c r="N125" s="13"/>
      <c r="O125" s="13"/>
    </row>
    <row r="126" spans="2:15" x14ac:dyDescent="0.2">
      <c r="B126" s="13"/>
      <c r="C126" s="13"/>
      <c r="D126" s="13"/>
      <c r="E126" s="13"/>
      <c r="F126" s="13"/>
      <c r="G126" s="13"/>
      <c r="H126" s="13"/>
      <c r="I126" s="13"/>
      <c r="J126" s="13"/>
      <c r="K126" s="13"/>
      <c r="L126" s="13"/>
      <c r="M126" s="13"/>
      <c r="N126" s="13"/>
      <c r="O126" s="13"/>
    </row>
    <row r="127" spans="2:15" x14ac:dyDescent="0.2">
      <c r="B127" s="13"/>
      <c r="C127" s="13"/>
      <c r="D127" s="13"/>
      <c r="E127" s="13"/>
      <c r="F127" s="13"/>
      <c r="G127" s="13"/>
      <c r="H127" s="13"/>
      <c r="I127" s="13"/>
      <c r="J127" s="13"/>
      <c r="K127" s="13"/>
      <c r="L127" s="13"/>
      <c r="M127" s="13"/>
      <c r="N127" s="13"/>
      <c r="O127" s="13"/>
    </row>
    <row r="128" spans="2:15" x14ac:dyDescent="0.2">
      <c r="B128" s="13"/>
      <c r="C128" s="13"/>
      <c r="D128" s="13"/>
      <c r="E128" s="13"/>
      <c r="F128" s="13"/>
      <c r="G128" s="13"/>
      <c r="H128" s="13"/>
      <c r="I128" s="13"/>
      <c r="J128" s="13"/>
      <c r="K128" s="13"/>
      <c r="L128" s="13"/>
      <c r="M128" s="13"/>
      <c r="N128" s="13"/>
      <c r="O128" s="13"/>
    </row>
    <row r="129" spans="2:15" x14ac:dyDescent="0.2">
      <c r="B129" s="13"/>
      <c r="C129" s="13"/>
      <c r="D129" s="13"/>
      <c r="E129" s="13"/>
      <c r="F129" s="13"/>
      <c r="G129" s="13"/>
      <c r="H129" s="13"/>
      <c r="I129" s="13"/>
      <c r="J129" s="13"/>
      <c r="K129" s="13"/>
      <c r="L129" s="13"/>
      <c r="M129" s="13"/>
      <c r="N129" s="13"/>
      <c r="O129" s="13"/>
    </row>
    <row r="130" spans="2:15" x14ac:dyDescent="0.2">
      <c r="B130" s="13"/>
      <c r="C130" s="13"/>
      <c r="D130" s="13"/>
      <c r="E130" s="13"/>
      <c r="F130" s="13"/>
      <c r="G130" s="13"/>
      <c r="H130" s="13"/>
      <c r="I130" s="13"/>
      <c r="J130" s="13"/>
      <c r="K130" s="13"/>
      <c r="L130" s="13"/>
      <c r="M130" s="13"/>
      <c r="N130" s="13"/>
      <c r="O130" s="13"/>
    </row>
    <row r="131" spans="2:15" x14ac:dyDescent="0.2">
      <c r="B131" s="13"/>
      <c r="C131" s="13"/>
      <c r="D131" s="13"/>
      <c r="E131" s="13"/>
      <c r="F131" s="13"/>
      <c r="G131" s="13"/>
      <c r="H131" s="13"/>
      <c r="I131" s="13"/>
      <c r="J131" s="13"/>
      <c r="K131" s="13"/>
      <c r="L131" s="13"/>
      <c r="M131" s="13"/>
      <c r="N131" s="13"/>
      <c r="O131" s="13"/>
    </row>
    <row r="132" spans="2:15" x14ac:dyDescent="0.2">
      <c r="B132" s="13"/>
      <c r="C132" s="13"/>
      <c r="D132" s="13"/>
      <c r="E132" s="13"/>
      <c r="F132" s="13"/>
      <c r="G132" s="13"/>
      <c r="H132" s="13"/>
      <c r="I132" s="13"/>
      <c r="J132" s="13"/>
      <c r="K132" s="13"/>
      <c r="L132" s="13"/>
      <c r="M132" s="13"/>
      <c r="N132" s="13"/>
      <c r="O132" s="13"/>
    </row>
    <row r="133" spans="2:15" x14ac:dyDescent="0.2">
      <c r="B133" s="13"/>
      <c r="C133" s="13"/>
      <c r="D133" s="13"/>
      <c r="E133" s="13"/>
      <c r="F133" s="13"/>
      <c r="G133" s="13"/>
      <c r="H133" s="13"/>
      <c r="I133" s="13"/>
      <c r="J133" s="13"/>
      <c r="K133" s="13"/>
      <c r="L133" s="13"/>
      <c r="M133" s="13"/>
      <c r="N133" s="13"/>
      <c r="O133" s="13"/>
    </row>
    <row r="134" spans="2:15" x14ac:dyDescent="0.2">
      <c r="B134" s="13"/>
      <c r="C134" s="13"/>
      <c r="D134" s="13"/>
      <c r="E134" s="13"/>
      <c r="F134" s="13"/>
      <c r="G134" s="13"/>
      <c r="H134" s="13"/>
      <c r="I134" s="13"/>
      <c r="J134" s="13"/>
      <c r="K134" s="13"/>
      <c r="L134" s="13"/>
      <c r="M134" s="13"/>
      <c r="N134" s="13"/>
      <c r="O134" s="13"/>
    </row>
    <row r="135" spans="2:15" x14ac:dyDescent="0.2">
      <c r="B135" s="13"/>
      <c r="C135" s="13"/>
      <c r="D135" s="13"/>
      <c r="E135" s="13"/>
      <c r="F135" s="13"/>
      <c r="G135" s="13"/>
      <c r="H135" s="13"/>
      <c r="I135" s="13"/>
      <c r="J135" s="13"/>
      <c r="K135" s="13"/>
      <c r="L135" s="13"/>
      <c r="M135" s="13"/>
      <c r="N135" s="13"/>
      <c r="O135" s="13"/>
    </row>
    <row r="136" spans="2:15" x14ac:dyDescent="0.2">
      <c r="B136" s="13"/>
      <c r="C136" s="13"/>
      <c r="D136" s="13"/>
      <c r="E136" s="13"/>
      <c r="F136" s="13"/>
      <c r="G136" s="13"/>
      <c r="H136" s="13"/>
      <c r="I136" s="13"/>
      <c r="J136" s="13"/>
      <c r="K136" s="13"/>
      <c r="L136" s="13"/>
      <c r="M136" s="13"/>
      <c r="N136" s="13"/>
      <c r="O136" s="13"/>
    </row>
    <row r="137" spans="2:15" x14ac:dyDescent="0.2">
      <c r="B137" s="13"/>
      <c r="C137" s="13"/>
      <c r="D137" s="13"/>
      <c r="E137" s="13"/>
      <c r="F137" s="13"/>
      <c r="G137" s="13"/>
      <c r="H137" s="13"/>
      <c r="I137" s="13"/>
      <c r="J137" s="13"/>
      <c r="K137" s="13"/>
      <c r="L137" s="13"/>
      <c r="M137" s="13"/>
      <c r="N137" s="13"/>
      <c r="O137" s="13"/>
    </row>
    <row r="138" spans="2:15" x14ac:dyDescent="0.2">
      <c r="B138" s="13"/>
      <c r="C138" s="13"/>
      <c r="D138" s="13"/>
      <c r="E138" s="13"/>
      <c r="F138" s="13"/>
      <c r="G138" s="13"/>
      <c r="H138" s="13"/>
      <c r="I138" s="13"/>
      <c r="J138" s="13"/>
      <c r="K138" s="13"/>
      <c r="L138" s="13"/>
      <c r="M138" s="13"/>
      <c r="N138" s="13"/>
      <c r="O138" s="13"/>
    </row>
    <row r="139" spans="2:15" x14ac:dyDescent="0.2">
      <c r="B139" s="13"/>
      <c r="C139" s="13"/>
      <c r="D139" s="13"/>
      <c r="E139" s="13"/>
      <c r="F139" s="13"/>
      <c r="G139" s="13"/>
      <c r="H139" s="13"/>
      <c r="I139" s="13"/>
      <c r="J139" s="13"/>
      <c r="K139" s="13"/>
      <c r="L139" s="13"/>
      <c r="M139" s="13"/>
      <c r="N139" s="13"/>
      <c r="O139" s="13"/>
    </row>
    <row r="140" spans="2:15" x14ac:dyDescent="0.2">
      <c r="B140" s="13"/>
      <c r="C140" s="13"/>
      <c r="D140" s="13"/>
      <c r="E140" s="13"/>
      <c r="F140" s="13"/>
      <c r="G140" s="13"/>
      <c r="H140" s="13"/>
      <c r="I140" s="13"/>
      <c r="J140" s="13"/>
      <c r="K140" s="13"/>
      <c r="L140" s="13"/>
      <c r="M140" s="13"/>
      <c r="N140" s="13"/>
      <c r="O140" s="13"/>
    </row>
    <row r="141" spans="2:15" x14ac:dyDescent="0.2">
      <c r="B141" s="13"/>
      <c r="C141" s="13"/>
      <c r="D141" s="13"/>
      <c r="E141" s="13"/>
      <c r="F141" s="13"/>
      <c r="G141" s="13"/>
      <c r="H141" s="13"/>
      <c r="I141" s="13"/>
      <c r="J141" s="13"/>
      <c r="K141" s="13"/>
      <c r="L141" s="13"/>
      <c r="M141" s="13"/>
      <c r="N141" s="13"/>
      <c r="O141" s="13"/>
    </row>
    <row r="142" spans="2:15" x14ac:dyDescent="0.2">
      <c r="B142" s="13"/>
      <c r="C142" s="13"/>
      <c r="D142" s="13"/>
      <c r="E142" s="13"/>
      <c r="F142" s="13"/>
      <c r="G142" s="13"/>
      <c r="H142" s="13"/>
      <c r="I142" s="13"/>
      <c r="J142" s="13"/>
      <c r="K142" s="13"/>
      <c r="L142" s="13"/>
      <c r="M142" s="13"/>
      <c r="N142" s="13"/>
      <c r="O142" s="13"/>
    </row>
    <row r="143" spans="2:15" x14ac:dyDescent="0.2">
      <c r="B143" s="13"/>
      <c r="C143" s="13"/>
      <c r="D143" s="13"/>
      <c r="E143" s="13"/>
      <c r="F143" s="13"/>
      <c r="G143" s="13"/>
      <c r="H143" s="13"/>
      <c r="I143" s="13"/>
      <c r="J143" s="13"/>
      <c r="K143" s="13"/>
      <c r="L143" s="13"/>
      <c r="M143" s="13"/>
      <c r="N143" s="13"/>
      <c r="O143" s="13"/>
    </row>
    <row r="144" spans="2:15" x14ac:dyDescent="0.2">
      <c r="B144" s="13"/>
      <c r="C144" s="13"/>
      <c r="D144" s="13"/>
      <c r="E144" s="13"/>
      <c r="F144" s="13"/>
      <c r="G144" s="13"/>
      <c r="H144" s="13"/>
      <c r="I144" s="13"/>
      <c r="J144" s="13"/>
      <c r="K144" s="13"/>
      <c r="L144" s="13"/>
      <c r="M144" s="13"/>
      <c r="N144" s="13"/>
      <c r="O144" s="13"/>
    </row>
    <row r="145" spans="2:15" x14ac:dyDescent="0.2">
      <c r="B145" s="13"/>
      <c r="C145" s="13"/>
      <c r="D145" s="13"/>
      <c r="E145" s="13"/>
      <c r="F145" s="13"/>
      <c r="G145" s="13"/>
      <c r="H145" s="13"/>
      <c r="I145" s="13"/>
      <c r="J145" s="13"/>
      <c r="K145" s="13"/>
      <c r="L145" s="13"/>
      <c r="M145" s="13"/>
      <c r="N145" s="13"/>
      <c r="O145" s="13"/>
    </row>
    <row r="146" spans="2:15" x14ac:dyDescent="0.2">
      <c r="B146" s="13"/>
      <c r="C146" s="13"/>
      <c r="D146" s="13"/>
      <c r="E146" s="13"/>
      <c r="F146" s="13"/>
      <c r="G146" s="13"/>
      <c r="H146" s="13"/>
      <c r="I146" s="13"/>
      <c r="J146" s="13"/>
      <c r="K146" s="13"/>
      <c r="L146" s="13"/>
      <c r="M146" s="13"/>
      <c r="N146" s="13"/>
      <c r="O146" s="13"/>
    </row>
    <row r="147" spans="2:15" x14ac:dyDescent="0.2">
      <c r="B147" s="13"/>
      <c r="C147" s="13"/>
      <c r="D147" s="13"/>
      <c r="E147" s="13"/>
      <c r="F147" s="13"/>
      <c r="G147" s="13"/>
      <c r="H147" s="13"/>
      <c r="I147" s="13"/>
      <c r="J147" s="13"/>
      <c r="K147" s="13"/>
      <c r="L147" s="13"/>
      <c r="M147" s="13"/>
      <c r="N147" s="13"/>
      <c r="O147" s="13"/>
    </row>
    <row r="148" spans="2:15" x14ac:dyDescent="0.2">
      <c r="B148" s="13"/>
      <c r="C148" s="13"/>
      <c r="D148" s="13"/>
      <c r="E148" s="13"/>
      <c r="F148" s="13"/>
      <c r="G148" s="13"/>
      <c r="H148" s="13"/>
      <c r="I148" s="13"/>
      <c r="J148" s="13"/>
      <c r="K148" s="13"/>
      <c r="L148" s="13"/>
      <c r="M148" s="13"/>
      <c r="N148" s="13"/>
      <c r="O148" s="13"/>
    </row>
    <row r="149" spans="2:15" x14ac:dyDescent="0.2">
      <c r="B149" s="13"/>
      <c r="C149" s="13"/>
      <c r="D149" s="13"/>
      <c r="E149" s="13"/>
      <c r="F149" s="13"/>
      <c r="G149" s="13"/>
      <c r="H149" s="13"/>
      <c r="I149" s="13"/>
      <c r="J149" s="13"/>
      <c r="K149" s="13"/>
      <c r="L149" s="13"/>
      <c r="M149" s="13"/>
      <c r="N149" s="13"/>
      <c r="O149" s="13"/>
    </row>
    <row r="150" spans="2:15" x14ac:dyDescent="0.2">
      <c r="B150" s="13"/>
      <c r="C150" s="13"/>
      <c r="D150" s="13"/>
      <c r="E150" s="13"/>
      <c r="F150" s="13"/>
      <c r="G150" s="13"/>
      <c r="H150" s="13"/>
      <c r="I150" s="13"/>
      <c r="J150" s="13"/>
      <c r="K150" s="13"/>
      <c r="L150" s="13"/>
      <c r="M150" s="13"/>
      <c r="N150" s="13"/>
      <c r="O150" s="13"/>
    </row>
    <row r="151" spans="2:15" x14ac:dyDescent="0.2">
      <c r="B151" s="13"/>
      <c r="C151" s="13"/>
      <c r="D151" s="13"/>
      <c r="E151" s="13"/>
      <c r="F151" s="13"/>
      <c r="G151" s="13"/>
      <c r="H151" s="13"/>
      <c r="I151" s="13"/>
      <c r="J151" s="13"/>
      <c r="K151" s="13"/>
      <c r="L151" s="13"/>
      <c r="M151" s="13"/>
      <c r="N151" s="13"/>
      <c r="O151" s="13"/>
    </row>
    <row r="152" spans="2:15" x14ac:dyDescent="0.2">
      <c r="B152" s="13"/>
      <c r="C152" s="13"/>
      <c r="D152" s="13"/>
      <c r="E152" s="13"/>
      <c r="F152" s="13"/>
      <c r="G152" s="13"/>
      <c r="H152" s="13"/>
      <c r="I152" s="13"/>
      <c r="J152" s="13"/>
      <c r="K152" s="13"/>
      <c r="L152" s="13"/>
      <c r="M152" s="13"/>
      <c r="N152" s="13"/>
      <c r="O152" s="13"/>
    </row>
    <row r="153" spans="2:15" x14ac:dyDescent="0.2">
      <c r="B153" s="13"/>
      <c r="C153" s="13"/>
      <c r="D153" s="13"/>
      <c r="E153" s="13"/>
      <c r="F153" s="13"/>
      <c r="G153" s="13"/>
      <c r="H153" s="13"/>
      <c r="I153" s="13"/>
      <c r="J153" s="13"/>
      <c r="K153" s="13"/>
      <c r="L153" s="13"/>
      <c r="M153" s="13"/>
      <c r="N153" s="13"/>
      <c r="O153" s="13"/>
    </row>
    <row r="154" spans="2:15" x14ac:dyDescent="0.2">
      <c r="B154" s="13"/>
      <c r="C154" s="13"/>
      <c r="D154" s="13"/>
      <c r="E154" s="13"/>
      <c r="F154" s="13"/>
      <c r="G154" s="13"/>
      <c r="H154" s="13"/>
      <c r="I154" s="13"/>
      <c r="J154" s="13"/>
      <c r="K154" s="13"/>
      <c r="L154" s="13"/>
      <c r="M154" s="13"/>
      <c r="N154" s="13"/>
      <c r="O154" s="13"/>
    </row>
    <row r="155" spans="2:15" x14ac:dyDescent="0.2">
      <c r="B155" s="13"/>
      <c r="C155" s="13"/>
      <c r="D155" s="13"/>
      <c r="E155" s="13"/>
      <c r="F155" s="13"/>
      <c r="G155" s="13"/>
      <c r="H155" s="13"/>
      <c r="I155" s="13"/>
      <c r="J155" s="13"/>
      <c r="K155" s="13"/>
      <c r="L155" s="13"/>
      <c r="M155" s="13"/>
      <c r="N155" s="13"/>
      <c r="O155" s="13"/>
    </row>
    <row r="156" spans="2:15" x14ac:dyDescent="0.2">
      <c r="B156" s="13"/>
      <c r="C156" s="13"/>
      <c r="D156" s="13"/>
      <c r="E156" s="13"/>
      <c r="F156" s="13"/>
      <c r="G156" s="13"/>
      <c r="H156" s="13"/>
      <c r="I156" s="13"/>
      <c r="J156" s="13"/>
      <c r="K156" s="13"/>
      <c r="L156" s="13"/>
      <c r="M156" s="13"/>
      <c r="N156" s="13"/>
      <c r="O156" s="13"/>
    </row>
    <row r="157" spans="2:15" x14ac:dyDescent="0.2">
      <c r="B157" s="13"/>
      <c r="C157" s="13"/>
      <c r="D157" s="13"/>
      <c r="E157" s="13"/>
      <c r="F157" s="13"/>
      <c r="G157" s="13"/>
      <c r="H157" s="13"/>
      <c r="I157" s="13"/>
      <c r="J157" s="13"/>
      <c r="K157" s="13"/>
      <c r="L157" s="13"/>
      <c r="M157" s="13"/>
      <c r="N157" s="13"/>
      <c r="O157" s="13"/>
    </row>
    <row r="158" spans="2:15" x14ac:dyDescent="0.2">
      <c r="B158" s="13"/>
      <c r="C158" s="13"/>
      <c r="D158" s="13"/>
      <c r="E158" s="13"/>
      <c r="F158" s="13"/>
      <c r="G158" s="13"/>
      <c r="H158" s="13"/>
      <c r="I158" s="13"/>
      <c r="J158" s="13"/>
      <c r="K158" s="13"/>
      <c r="L158" s="13"/>
      <c r="M158" s="13"/>
      <c r="N158" s="13"/>
      <c r="O158" s="13"/>
    </row>
    <row r="159" spans="2:15" x14ac:dyDescent="0.2">
      <c r="B159" s="13"/>
      <c r="C159" s="13"/>
      <c r="D159" s="13"/>
      <c r="E159" s="13"/>
      <c r="F159" s="13"/>
      <c r="G159" s="13"/>
      <c r="H159" s="13"/>
      <c r="I159" s="13"/>
      <c r="J159" s="13"/>
      <c r="K159" s="13"/>
      <c r="L159" s="13"/>
      <c r="M159" s="13"/>
      <c r="N159" s="13"/>
      <c r="O159" s="13"/>
    </row>
    <row r="160" spans="2:15" x14ac:dyDescent="0.2">
      <c r="B160" s="13"/>
      <c r="C160" s="13"/>
      <c r="D160" s="13"/>
      <c r="E160" s="13"/>
      <c r="F160" s="13"/>
      <c r="G160" s="13"/>
      <c r="H160" s="13"/>
      <c r="I160" s="13"/>
      <c r="J160" s="13"/>
      <c r="K160" s="13"/>
      <c r="L160" s="13"/>
      <c r="M160" s="13"/>
      <c r="N160" s="13"/>
      <c r="O160" s="13"/>
    </row>
    <row r="161" spans="2:15" x14ac:dyDescent="0.2">
      <c r="B161" s="13"/>
      <c r="C161" s="13"/>
      <c r="D161" s="13"/>
      <c r="E161" s="13"/>
      <c r="F161" s="13"/>
      <c r="G161" s="13"/>
      <c r="H161" s="13"/>
      <c r="I161" s="13"/>
      <c r="J161" s="13"/>
      <c r="K161" s="13"/>
      <c r="L161" s="13"/>
      <c r="M161" s="13"/>
      <c r="N161" s="13"/>
      <c r="O161" s="13"/>
    </row>
    <row r="162" spans="2:15" x14ac:dyDescent="0.2">
      <c r="B162" s="13"/>
      <c r="C162" s="13"/>
      <c r="D162" s="13"/>
      <c r="E162" s="13"/>
      <c r="F162" s="13"/>
      <c r="G162" s="13"/>
      <c r="H162" s="13"/>
      <c r="I162" s="13"/>
      <c r="J162" s="13"/>
      <c r="K162" s="13"/>
      <c r="L162" s="13"/>
      <c r="M162" s="13"/>
      <c r="N162" s="13"/>
      <c r="O162" s="13"/>
    </row>
    <row r="163" spans="2:15" x14ac:dyDescent="0.2">
      <c r="B163" s="13"/>
      <c r="C163" s="13"/>
      <c r="D163" s="13"/>
      <c r="E163" s="13"/>
      <c r="F163" s="13"/>
      <c r="G163" s="13"/>
      <c r="H163" s="13"/>
      <c r="I163" s="13"/>
      <c r="J163" s="13"/>
      <c r="K163" s="13"/>
      <c r="L163" s="13"/>
      <c r="M163" s="13"/>
      <c r="N163" s="13"/>
      <c r="O163" s="13"/>
    </row>
    <row r="164" spans="2:15" x14ac:dyDescent="0.2">
      <c r="B164" s="13"/>
      <c r="C164" s="13"/>
      <c r="D164" s="13"/>
      <c r="E164" s="13"/>
      <c r="F164" s="13"/>
      <c r="G164" s="13"/>
      <c r="H164" s="13"/>
      <c r="I164" s="13"/>
      <c r="J164" s="13"/>
      <c r="K164" s="13"/>
      <c r="L164" s="13"/>
      <c r="M164" s="13"/>
      <c r="N164" s="13"/>
      <c r="O164" s="13"/>
    </row>
    <row r="165" spans="2:15" x14ac:dyDescent="0.2">
      <c r="B165" s="13"/>
      <c r="C165" s="13"/>
      <c r="D165" s="13"/>
      <c r="E165" s="13"/>
      <c r="F165" s="13"/>
      <c r="G165" s="13"/>
      <c r="H165" s="13"/>
      <c r="I165" s="13"/>
      <c r="J165" s="13"/>
      <c r="K165" s="13"/>
      <c r="L165" s="13"/>
      <c r="M165" s="13"/>
      <c r="N165" s="13"/>
      <c r="O165" s="13"/>
    </row>
    <row r="166" spans="2:15" x14ac:dyDescent="0.2">
      <c r="B166" s="13"/>
      <c r="C166" s="13"/>
      <c r="D166" s="13"/>
      <c r="E166" s="13"/>
      <c r="F166" s="13"/>
      <c r="G166" s="13"/>
      <c r="H166" s="13"/>
      <c r="I166" s="13"/>
      <c r="J166" s="13"/>
      <c r="K166" s="13"/>
      <c r="L166" s="13"/>
      <c r="M166" s="13"/>
      <c r="N166" s="13"/>
      <c r="O166" s="13"/>
    </row>
    <row r="167" spans="2:15" x14ac:dyDescent="0.2">
      <c r="B167" s="13"/>
      <c r="C167" s="13"/>
      <c r="D167" s="13"/>
      <c r="E167" s="13"/>
      <c r="F167" s="13"/>
      <c r="G167" s="13"/>
      <c r="H167" s="13"/>
      <c r="I167" s="13"/>
      <c r="J167" s="13"/>
      <c r="K167" s="13"/>
      <c r="L167" s="13"/>
      <c r="M167" s="13"/>
      <c r="N167" s="13"/>
      <c r="O167" s="13"/>
    </row>
    <row r="168" spans="2:15" x14ac:dyDescent="0.2">
      <c r="B168" s="13"/>
      <c r="C168" s="13"/>
      <c r="D168" s="13"/>
      <c r="E168" s="13"/>
      <c r="F168" s="13"/>
      <c r="G168" s="13"/>
      <c r="H168" s="13"/>
      <c r="I168" s="13"/>
      <c r="J168" s="13"/>
      <c r="K168" s="13"/>
      <c r="L168" s="13"/>
      <c r="M168" s="13"/>
      <c r="N168" s="13"/>
      <c r="O168" s="13"/>
    </row>
    <row r="169" spans="2:15" x14ac:dyDescent="0.2">
      <c r="B169" s="13"/>
      <c r="C169" s="13"/>
      <c r="D169" s="13"/>
      <c r="E169" s="13"/>
      <c r="F169" s="13"/>
      <c r="G169" s="13"/>
      <c r="H169" s="13"/>
      <c r="I169" s="13"/>
      <c r="J169" s="13"/>
      <c r="K169" s="13"/>
      <c r="L169" s="13"/>
      <c r="M169" s="13"/>
      <c r="N169" s="13"/>
      <c r="O169" s="13"/>
    </row>
    <row r="170" spans="2:15" x14ac:dyDescent="0.2">
      <c r="B170" s="13"/>
      <c r="C170" s="13"/>
      <c r="D170" s="13"/>
      <c r="E170" s="13"/>
      <c r="F170" s="13"/>
      <c r="G170" s="13"/>
      <c r="H170" s="13"/>
      <c r="I170" s="13"/>
      <c r="J170" s="13"/>
      <c r="K170" s="13"/>
      <c r="L170" s="13"/>
      <c r="M170" s="13"/>
      <c r="N170" s="13"/>
      <c r="O170" s="13"/>
    </row>
    <row r="171" spans="2:15" x14ac:dyDescent="0.2">
      <c r="B171" s="13"/>
      <c r="C171" s="13"/>
      <c r="D171" s="13"/>
      <c r="E171" s="13"/>
      <c r="F171" s="13"/>
      <c r="G171" s="13"/>
      <c r="H171" s="13"/>
      <c r="I171" s="13"/>
      <c r="J171" s="13"/>
      <c r="K171" s="13"/>
      <c r="L171" s="13"/>
      <c r="M171" s="13"/>
      <c r="N171" s="13"/>
      <c r="O171" s="13"/>
    </row>
    <row r="172" spans="2:15" x14ac:dyDescent="0.2">
      <c r="B172" s="13"/>
      <c r="C172" s="13"/>
      <c r="D172" s="13"/>
      <c r="E172" s="13"/>
      <c r="F172" s="13"/>
      <c r="G172" s="13"/>
      <c r="H172" s="13"/>
      <c r="I172" s="13"/>
      <c r="J172" s="13"/>
      <c r="K172" s="13"/>
      <c r="L172" s="13"/>
      <c r="M172" s="13"/>
      <c r="N172" s="13"/>
      <c r="O172" s="13"/>
    </row>
    <row r="173" spans="2:15" x14ac:dyDescent="0.2">
      <c r="B173" s="13"/>
      <c r="C173" s="13"/>
      <c r="D173" s="13"/>
      <c r="E173" s="13"/>
      <c r="F173" s="13"/>
      <c r="G173" s="13"/>
      <c r="H173" s="13"/>
      <c r="I173" s="13"/>
      <c r="J173" s="13"/>
      <c r="K173" s="13"/>
      <c r="L173" s="13"/>
      <c r="M173" s="13"/>
      <c r="N173" s="13"/>
      <c r="O173" s="13"/>
    </row>
    <row r="174" spans="2:15" x14ac:dyDescent="0.2">
      <c r="B174" s="13"/>
      <c r="C174" s="13"/>
      <c r="D174" s="13"/>
      <c r="E174" s="13"/>
      <c r="F174" s="13"/>
      <c r="G174" s="13"/>
      <c r="H174" s="13"/>
      <c r="I174" s="13"/>
      <c r="J174" s="13"/>
      <c r="K174" s="13"/>
      <c r="L174" s="13"/>
      <c r="M174" s="13"/>
      <c r="N174" s="13"/>
      <c r="O174" s="13"/>
    </row>
    <row r="175" spans="2:15" x14ac:dyDescent="0.2">
      <c r="B175" s="13"/>
      <c r="C175" s="13"/>
      <c r="D175" s="13"/>
      <c r="E175" s="13"/>
      <c r="F175" s="13"/>
      <c r="G175" s="13"/>
      <c r="H175" s="13"/>
      <c r="I175" s="13"/>
      <c r="J175" s="13"/>
      <c r="K175" s="13"/>
      <c r="L175" s="13"/>
      <c r="M175" s="13"/>
      <c r="N175" s="13"/>
      <c r="O175" s="13"/>
    </row>
    <row r="176" spans="2:15" x14ac:dyDescent="0.2">
      <c r="B176" s="13"/>
      <c r="C176" s="13"/>
      <c r="D176" s="13"/>
      <c r="E176" s="13"/>
      <c r="F176" s="13"/>
      <c r="G176" s="13"/>
      <c r="H176" s="13"/>
      <c r="I176" s="13"/>
      <c r="J176" s="13"/>
      <c r="K176" s="13"/>
      <c r="L176" s="13"/>
      <c r="M176" s="13"/>
      <c r="N176" s="13"/>
      <c r="O176" s="13"/>
    </row>
    <row r="177" spans="2:15" x14ac:dyDescent="0.2">
      <c r="B177" s="13"/>
      <c r="C177" s="13"/>
      <c r="D177" s="13"/>
      <c r="E177" s="13"/>
      <c r="F177" s="13"/>
      <c r="G177" s="13"/>
      <c r="H177" s="13"/>
      <c r="I177" s="13"/>
      <c r="J177" s="13"/>
      <c r="K177" s="13"/>
      <c r="L177" s="13"/>
      <c r="M177" s="13"/>
      <c r="N177" s="13"/>
      <c r="O177" s="13"/>
    </row>
    <row r="178" spans="2:15" x14ac:dyDescent="0.2">
      <c r="B178" s="13"/>
      <c r="C178" s="13"/>
      <c r="D178" s="13"/>
      <c r="E178" s="13"/>
      <c r="F178" s="13"/>
      <c r="G178" s="13"/>
      <c r="H178" s="13"/>
      <c r="I178" s="13"/>
      <c r="J178" s="13"/>
      <c r="K178" s="13"/>
      <c r="L178" s="13"/>
      <c r="M178" s="13"/>
      <c r="N178" s="13"/>
      <c r="O178" s="13"/>
    </row>
    <row r="179" spans="2:15" x14ac:dyDescent="0.2">
      <c r="B179" s="13"/>
      <c r="C179" s="13"/>
      <c r="D179" s="13"/>
      <c r="E179" s="13"/>
      <c r="F179" s="13"/>
      <c r="G179" s="13"/>
      <c r="H179" s="13"/>
      <c r="I179" s="13"/>
      <c r="J179" s="13"/>
      <c r="K179" s="13"/>
      <c r="L179" s="13"/>
      <c r="M179" s="13"/>
      <c r="N179" s="13"/>
      <c r="O179" s="13"/>
    </row>
    <row r="180" spans="2:15" x14ac:dyDescent="0.2">
      <c r="B180" s="13"/>
      <c r="C180" s="13"/>
      <c r="D180" s="13"/>
      <c r="E180" s="13"/>
      <c r="F180" s="13"/>
      <c r="G180" s="13"/>
      <c r="H180" s="13"/>
      <c r="I180" s="13"/>
      <c r="J180" s="13"/>
      <c r="K180" s="13"/>
      <c r="L180" s="13"/>
      <c r="M180" s="13"/>
      <c r="N180" s="13"/>
      <c r="O180" s="13"/>
    </row>
    <row r="181" spans="2:15" x14ac:dyDescent="0.2">
      <c r="B181" s="13"/>
      <c r="C181" s="13"/>
      <c r="D181" s="13"/>
      <c r="E181" s="13"/>
      <c r="F181" s="13"/>
      <c r="G181" s="13"/>
      <c r="H181" s="13"/>
      <c r="I181" s="13"/>
      <c r="J181" s="13"/>
      <c r="K181" s="13"/>
      <c r="L181" s="13"/>
      <c r="M181" s="13"/>
      <c r="N181" s="13"/>
      <c r="O181" s="13"/>
    </row>
    <row r="182" spans="2:15" x14ac:dyDescent="0.2">
      <c r="B182" s="13"/>
      <c r="C182" s="13"/>
      <c r="D182" s="13"/>
      <c r="E182" s="13"/>
      <c r="F182" s="13"/>
      <c r="G182" s="13"/>
      <c r="H182" s="13"/>
      <c r="I182" s="13"/>
      <c r="J182" s="13"/>
      <c r="K182" s="13"/>
      <c r="L182" s="13"/>
      <c r="M182" s="13"/>
      <c r="N182" s="13"/>
      <c r="O182" s="13"/>
    </row>
    <row r="183" spans="2:15" x14ac:dyDescent="0.2">
      <c r="B183" s="13"/>
      <c r="C183" s="13"/>
      <c r="D183" s="13"/>
      <c r="E183" s="13"/>
      <c r="F183" s="13"/>
      <c r="G183" s="13"/>
      <c r="H183" s="13"/>
      <c r="I183" s="13"/>
      <c r="J183" s="13"/>
      <c r="K183" s="13"/>
      <c r="L183" s="13"/>
      <c r="M183" s="13"/>
      <c r="N183" s="13"/>
      <c r="O183" s="13"/>
    </row>
    <row r="184" spans="2:15" x14ac:dyDescent="0.2">
      <c r="B184" s="13"/>
      <c r="C184" s="13"/>
      <c r="D184" s="13"/>
      <c r="E184" s="13"/>
      <c r="F184" s="13"/>
      <c r="G184" s="13"/>
      <c r="H184" s="13"/>
      <c r="I184" s="13"/>
      <c r="J184" s="13"/>
      <c r="K184" s="13"/>
      <c r="L184" s="13"/>
      <c r="M184" s="13"/>
      <c r="N184" s="13"/>
      <c r="O184" s="13"/>
    </row>
    <row r="185" spans="2:15" x14ac:dyDescent="0.2">
      <c r="B185" s="13"/>
      <c r="C185" s="13"/>
      <c r="D185" s="13"/>
      <c r="E185" s="13"/>
      <c r="F185" s="13"/>
      <c r="G185" s="13"/>
      <c r="H185" s="13"/>
      <c r="I185" s="13"/>
      <c r="J185" s="13"/>
      <c r="K185" s="13"/>
      <c r="L185" s="13"/>
      <c r="M185" s="13"/>
      <c r="N185" s="13"/>
      <c r="O185" s="13"/>
    </row>
    <row r="186" spans="2:15" x14ac:dyDescent="0.2">
      <c r="B186" s="13"/>
      <c r="C186" s="13"/>
      <c r="D186" s="13"/>
      <c r="E186" s="13"/>
      <c r="F186" s="13"/>
      <c r="G186" s="13"/>
      <c r="H186" s="13"/>
      <c r="I186" s="13"/>
      <c r="J186" s="13"/>
      <c r="K186" s="13"/>
      <c r="L186" s="13"/>
      <c r="M186" s="13"/>
      <c r="N186" s="13"/>
      <c r="O186" s="13"/>
    </row>
    <row r="187" spans="2:15" x14ac:dyDescent="0.2">
      <c r="B187" s="13"/>
      <c r="C187" s="13"/>
      <c r="D187" s="13"/>
      <c r="E187" s="13"/>
      <c r="F187" s="13"/>
      <c r="G187" s="13"/>
      <c r="H187" s="13"/>
      <c r="I187" s="13"/>
      <c r="J187" s="13"/>
      <c r="K187" s="13"/>
      <c r="L187" s="13"/>
      <c r="M187" s="13"/>
      <c r="N187" s="13"/>
      <c r="O187" s="13"/>
    </row>
    <row r="188" spans="2:15" x14ac:dyDescent="0.2">
      <c r="B188" s="13"/>
      <c r="C188" s="13"/>
      <c r="D188" s="13"/>
      <c r="E188" s="13"/>
      <c r="F188" s="13"/>
      <c r="G188" s="13"/>
      <c r="H188" s="13"/>
      <c r="I188" s="13"/>
      <c r="J188" s="13"/>
      <c r="K188" s="13"/>
      <c r="L188" s="13"/>
      <c r="M188" s="13"/>
      <c r="N188" s="13"/>
      <c r="O188" s="13"/>
    </row>
    <row r="189" spans="2:15" x14ac:dyDescent="0.2">
      <c r="B189" s="13"/>
      <c r="C189" s="13"/>
      <c r="D189" s="13"/>
      <c r="E189" s="13"/>
      <c r="F189" s="13"/>
      <c r="G189" s="13"/>
      <c r="H189" s="13"/>
      <c r="I189" s="13"/>
      <c r="J189" s="13"/>
      <c r="K189" s="13"/>
      <c r="L189" s="13"/>
      <c r="M189" s="13"/>
      <c r="N189" s="13"/>
      <c r="O189" s="13"/>
    </row>
    <row r="190" spans="2:15" x14ac:dyDescent="0.2">
      <c r="B190" s="13"/>
      <c r="C190" s="13"/>
      <c r="D190" s="13"/>
      <c r="E190" s="13"/>
      <c r="F190" s="13"/>
      <c r="G190" s="13"/>
      <c r="H190" s="13"/>
      <c r="I190" s="13"/>
      <c r="J190" s="13"/>
      <c r="K190" s="13"/>
      <c r="L190" s="13"/>
      <c r="M190" s="13"/>
      <c r="N190" s="13"/>
      <c r="O190" s="13"/>
    </row>
    <row r="191" spans="2:15" x14ac:dyDescent="0.2">
      <c r="B191" s="13"/>
      <c r="C191" s="13"/>
      <c r="D191" s="13"/>
      <c r="E191" s="13"/>
      <c r="F191" s="13"/>
      <c r="G191" s="13"/>
      <c r="H191" s="13"/>
      <c r="I191" s="13"/>
      <c r="J191" s="13"/>
      <c r="K191" s="13"/>
      <c r="L191" s="13"/>
      <c r="M191" s="13"/>
      <c r="N191" s="13"/>
      <c r="O191" s="13"/>
    </row>
    <row r="192" spans="2:15" x14ac:dyDescent="0.2">
      <c r="B192" s="13"/>
      <c r="C192" s="13"/>
      <c r="D192" s="13"/>
      <c r="E192" s="13"/>
      <c r="F192" s="13"/>
      <c r="G192" s="13"/>
      <c r="H192" s="13"/>
      <c r="I192" s="13"/>
      <c r="J192" s="13"/>
      <c r="K192" s="13"/>
      <c r="L192" s="13"/>
      <c r="M192" s="13"/>
      <c r="N192" s="13"/>
      <c r="O192" s="13"/>
    </row>
    <row r="193" spans="2:15" x14ac:dyDescent="0.2">
      <c r="B193" s="13"/>
      <c r="C193" s="13"/>
      <c r="D193" s="13"/>
      <c r="E193" s="13"/>
      <c r="F193" s="13"/>
      <c r="G193" s="13"/>
      <c r="H193" s="13"/>
      <c r="I193" s="13"/>
      <c r="J193" s="13"/>
      <c r="K193" s="13"/>
      <c r="L193" s="13"/>
      <c r="M193" s="13"/>
      <c r="N193" s="13"/>
      <c r="O193" s="13"/>
    </row>
    <row r="194" spans="2:15" x14ac:dyDescent="0.2">
      <c r="B194" s="13"/>
      <c r="C194" s="13"/>
      <c r="D194" s="13"/>
      <c r="E194" s="13"/>
      <c r="F194" s="13"/>
      <c r="G194" s="13"/>
      <c r="H194" s="13"/>
      <c r="I194" s="13"/>
      <c r="J194" s="13"/>
      <c r="K194" s="13"/>
      <c r="L194" s="13"/>
      <c r="M194" s="13"/>
      <c r="N194" s="13"/>
      <c r="O194" s="13"/>
    </row>
    <row r="195" spans="2:15" x14ac:dyDescent="0.2">
      <c r="B195" s="13"/>
      <c r="C195" s="13"/>
      <c r="D195" s="13"/>
      <c r="E195" s="13"/>
      <c r="F195" s="13"/>
      <c r="G195" s="13"/>
      <c r="H195" s="13"/>
      <c r="I195" s="13"/>
      <c r="J195" s="13"/>
      <c r="K195" s="13"/>
      <c r="L195" s="13"/>
      <c r="M195" s="13"/>
      <c r="N195" s="13"/>
      <c r="O195" s="13"/>
    </row>
    <row r="196" spans="2:15" x14ac:dyDescent="0.2">
      <c r="B196" s="13"/>
      <c r="C196" s="13"/>
      <c r="D196" s="13"/>
      <c r="E196" s="13"/>
      <c r="F196" s="13"/>
      <c r="G196" s="13"/>
      <c r="H196" s="13"/>
      <c r="I196" s="13"/>
      <c r="J196" s="13"/>
      <c r="K196" s="13"/>
      <c r="L196" s="13"/>
      <c r="M196" s="13"/>
      <c r="N196" s="13"/>
      <c r="O196" s="13"/>
    </row>
    <row r="197" spans="2:15" x14ac:dyDescent="0.2">
      <c r="B197" s="13"/>
      <c r="C197" s="13"/>
      <c r="D197" s="13"/>
      <c r="E197" s="13"/>
      <c r="F197" s="13"/>
      <c r="G197" s="13"/>
      <c r="H197" s="13"/>
      <c r="I197" s="13"/>
      <c r="J197" s="13"/>
      <c r="K197" s="13"/>
      <c r="L197" s="13"/>
      <c r="M197" s="13"/>
      <c r="N197" s="13"/>
      <c r="O197" s="13"/>
    </row>
    <row r="198" spans="2:15" x14ac:dyDescent="0.2">
      <c r="B198" s="13"/>
      <c r="C198" s="13"/>
      <c r="D198" s="13"/>
      <c r="E198" s="13"/>
      <c r="F198" s="13"/>
      <c r="G198" s="13"/>
      <c r="H198" s="13"/>
      <c r="I198" s="13"/>
      <c r="J198" s="13"/>
      <c r="K198" s="13"/>
      <c r="L198" s="13"/>
      <c r="M198" s="13"/>
      <c r="N198" s="13"/>
      <c r="O198" s="13"/>
    </row>
    <row r="199" spans="2:15" x14ac:dyDescent="0.2">
      <c r="B199" s="13"/>
      <c r="C199" s="13"/>
      <c r="D199" s="13"/>
      <c r="E199" s="13"/>
      <c r="F199" s="13"/>
      <c r="G199" s="13"/>
      <c r="H199" s="13"/>
      <c r="I199" s="13"/>
      <c r="J199" s="13"/>
      <c r="K199" s="13"/>
      <c r="L199" s="13"/>
      <c r="M199" s="13"/>
      <c r="N199" s="13"/>
      <c r="O199" s="13"/>
    </row>
    <row r="200" spans="2:15" x14ac:dyDescent="0.2">
      <c r="B200" s="13"/>
      <c r="C200" s="13"/>
      <c r="D200" s="13"/>
      <c r="E200" s="13"/>
      <c r="F200" s="13"/>
      <c r="G200" s="13"/>
      <c r="H200" s="13"/>
      <c r="I200" s="13"/>
      <c r="J200" s="13"/>
      <c r="K200" s="13"/>
      <c r="L200" s="13"/>
      <c r="M200" s="13"/>
      <c r="N200" s="13"/>
      <c r="O200" s="13"/>
    </row>
    <row r="201" spans="2:15" x14ac:dyDescent="0.2">
      <c r="B201" s="13"/>
      <c r="C201" s="13"/>
      <c r="D201" s="13"/>
      <c r="E201" s="13"/>
      <c r="F201" s="13"/>
      <c r="G201" s="13"/>
      <c r="H201" s="13"/>
      <c r="I201" s="13"/>
      <c r="J201" s="13"/>
      <c r="K201" s="13"/>
      <c r="L201" s="13"/>
      <c r="M201" s="13"/>
      <c r="N201" s="13"/>
      <c r="O201" s="13"/>
    </row>
    <row r="202" spans="2:15" x14ac:dyDescent="0.2">
      <c r="B202" s="13"/>
      <c r="C202" s="13"/>
      <c r="D202" s="13"/>
      <c r="E202" s="13"/>
      <c r="F202" s="13"/>
      <c r="G202" s="13"/>
      <c r="H202" s="13"/>
      <c r="I202" s="13"/>
      <c r="J202" s="13"/>
      <c r="K202" s="13"/>
      <c r="L202" s="13"/>
      <c r="M202" s="13"/>
      <c r="N202" s="13"/>
      <c r="O202" s="13"/>
    </row>
    <row r="203" spans="2:15" x14ac:dyDescent="0.2">
      <c r="B203" s="13"/>
      <c r="C203" s="13"/>
      <c r="D203" s="13"/>
      <c r="E203" s="13"/>
      <c r="F203" s="13"/>
      <c r="G203" s="13"/>
      <c r="H203" s="13"/>
      <c r="I203" s="13"/>
      <c r="J203" s="13"/>
      <c r="K203" s="13"/>
      <c r="L203" s="13"/>
      <c r="M203" s="13"/>
      <c r="N203" s="13"/>
      <c r="O203" s="13"/>
    </row>
    <row r="204" spans="2:15" x14ac:dyDescent="0.2">
      <c r="B204" s="13"/>
      <c r="C204" s="13"/>
      <c r="D204" s="13"/>
      <c r="E204" s="13"/>
      <c r="F204" s="13"/>
      <c r="G204" s="13"/>
      <c r="H204" s="13"/>
      <c r="I204" s="13"/>
      <c r="J204" s="13"/>
      <c r="K204" s="13"/>
      <c r="L204" s="13"/>
      <c r="M204" s="13"/>
      <c r="N204" s="13"/>
      <c r="O204" s="13"/>
    </row>
    <row r="205" spans="2:15" x14ac:dyDescent="0.2">
      <c r="B205" s="13"/>
      <c r="C205" s="13"/>
      <c r="D205" s="13"/>
      <c r="E205" s="13"/>
      <c r="F205" s="13"/>
      <c r="G205" s="13"/>
      <c r="H205" s="13"/>
      <c r="I205" s="13"/>
      <c r="J205" s="13"/>
      <c r="K205" s="13"/>
      <c r="L205" s="13"/>
      <c r="M205" s="13"/>
      <c r="N205" s="13"/>
      <c r="O205" s="13"/>
    </row>
    <row r="206" spans="2:15" x14ac:dyDescent="0.2">
      <c r="B206" s="13"/>
      <c r="C206" s="13"/>
      <c r="D206" s="13"/>
      <c r="E206" s="13"/>
      <c r="F206" s="13"/>
      <c r="G206" s="13"/>
      <c r="H206" s="13"/>
      <c r="I206" s="13"/>
      <c r="J206" s="13"/>
      <c r="K206" s="13"/>
      <c r="L206" s="13"/>
      <c r="M206" s="13"/>
      <c r="N206" s="13"/>
      <c r="O206" s="13"/>
    </row>
    <row r="207" spans="2:15" x14ac:dyDescent="0.2">
      <c r="B207" s="13"/>
      <c r="C207" s="13"/>
      <c r="D207" s="13"/>
      <c r="E207" s="13"/>
      <c r="F207" s="13"/>
      <c r="G207" s="13"/>
      <c r="H207" s="13"/>
      <c r="I207" s="13"/>
      <c r="J207" s="13"/>
      <c r="K207" s="13"/>
      <c r="L207" s="13"/>
      <c r="M207" s="13"/>
      <c r="N207" s="13"/>
      <c r="O207" s="13"/>
    </row>
    <row r="208" spans="2:15" x14ac:dyDescent="0.2">
      <c r="B208" s="13"/>
      <c r="C208" s="13"/>
      <c r="D208" s="13"/>
      <c r="E208" s="13"/>
      <c r="F208" s="13"/>
      <c r="G208" s="13"/>
      <c r="H208" s="13"/>
      <c r="I208" s="13"/>
      <c r="J208" s="13"/>
      <c r="K208" s="13"/>
      <c r="L208" s="13"/>
      <c r="M208" s="13"/>
      <c r="N208" s="13"/>
      <c r="O208" s="13"/>
    </row>
    <row r="209" spans="2:15" x14ac:dyDescent="0.2">
      <c r="B209" s="13"/>
      <c r="C209" s="13"/>
      <c r="D209" s="13"/>
      <c r="E209" s="13"/>
      <c r="F209" s="13"/>
      <c r="G209" s="13"/>
      <c r="H209" s="13"/>
      <c r="I209" s="13"/>
      <c r="J209" s="13"/>
      <c r="K209" s="13"/>
      <c r="L209" s="13"/>
      <c r="M209" s="13"/>
      <c r="N209" s="13"/>
      <c r="O209" s="13"/>
    </row>
    <row r="210" spans="2:15" x14ac:dyDescent="0.2">
      <c r="B210" s="13"/>
      <c r="C210" s="13"/>
      <c r="D210" s="13"/>
      <c r="E210" s="13"/>
      <c r="F210" s="13"/>
      <c r="G210" s="13"/>
      <c r="H210" s="13"/>
      <c r="I210" s="13"/>
      <c r="J210" s="13"/>
      <c r="K210" s="13"/>
      <c r="L210" s="13"/>
      <c r="M210" s="13"/>
      <c r="N210" s="13"/>
      <c r="O210" s="13"/>
    </row>
    <row r="211" spans="2:15" x14ac:dyDescent="0.2">
      <c r="B211" s="13"/>
      <c r="C211" s="13"/>
      <c r="D211" s="13"/>
      <c r="E211" s="13"/>
      <c r="F211" s="13"/>
      <c r="G211" s="13"/>
      <c r="H211" s="13"/>
      <c r="I211" s="13"/>
      <c r="J211" s="13"/>
      <c r="K211" s="13"/>
      <c r="L211" s="13"/>
      <c r="M211" s="13"/>
      <c r="N211" s="13"/>
      <c r="O211" s="13"/>
    </row>
    <row r="212" spans="2:15" x14ac:dyDescent="0.2">
      <c r="B212" s="13"/>
      <c r="C212" s="13"/>
      <c r="D212" s="13"/>
      <c r="E212" s="13"/>
      <c r="F212" s="13"/>
      <c r="G212" s="13"/>
      <c r="H212" s="13"/>
      <c r="I212" s="13"/>
      <c r="J212" s="13"/>
      <c r="K212" s="13"/>
      <c r="L212" s="13"/>
      <c r="M212" s="13"/>
      <c r="N212" s="13"/>
      <c r="O212" s="13"/>
    </row>
    <row r="213" spans="2:15" x14ac:dyDescent="0.2">
      <c r="B213" s="13"/>
      <c r="C213" s="13"/>
      <c r="D213" s="13"/>
      <c r="E213" s="13"/>
      <c r="F213" s="13"/>
      <c r="G213" s="13"/>
      <c r="H213" s="13"/>
      <c r="I213" s="13"/>
      <c r="J213" s="13"/>
      <c r="K213" s="13"/>
      <c r="L213" s="13"/>
      <c r="M213" s="13"/>
      <c r="N213" s="13"/>
      <c r="O213" s="13"/>
    </row>
    <row r="214" spans="2:15" x14ac:dyDescent="0.2">
      <c r="B214" s="13"/>
      <c r="C214" s="13"/>
      <c r="D214" s="13"/>
      <c r="E214" s="13"/>
      <c r="F214" s="13"/>
      <c r="G214" s="13"/>
      <c r="H214" s="13"/>
      <c r="I214" s="13"/>
      <c r="J214" s="13"/>
      <c r="K214" s="13"/>
      <c r="L214" s="13"/>
      <c r="M214" s="13"/>
      <c r="N214" s="13"/>
      <c r="O214" s="13"/>
    </row>
    <row r="215" spans="2:15" x14ac:dyDescent="0.2">
      <c r="B215" s="13"/>
      <c r="C215" s="13"/>
      <c r="D215" s="13"/>
      <c r="E215" s="13"/>
      <c r="F215" s="13"/>
      <c r="G215" s="13"/>
      <c r="H215" s="13"/>
      <c r="I215" s="13"/>
      <c r="J215" s="13"/>
      <c r="K215" s="13"/>
      <c r="L215" s="13"/>
      <c r="M215" s="13"/>
      <c r="N215" s="13"/>
      <c r="O215" s="13"/>
    </row>
    <row r="216" spans="2:15" x14ac:dyDescent="0.2">
      <c r="B216" s="13"/>
      <c r="C216" s="13"/>
      <c r="D216" s="13"/>
      <c r="E216" s="13"/>
      <c r="F216" s="13"/>
      <c r="G216" s="13"/>
      <c r="H216" s="13"/>
      <c r="I216" s="13"/>
      <c r="J216" s="13"/>
      <c r="K216" s="13"/>
      <c r="L216" s="13"/>
      <c r="M216" s="13"/>
      <c r="N216" s="13"/>
      <c r="O216" s="13"/>
    </row>
    <row r="217" spans="2:15" x14ac:dyDescent="0.2">
      <c r="B217" s="13"/>
      <c r="C217" s="13"/>
      <c r="D217" s="13"/>
      <c r="E217" s="13"/>
      <c r="F217" s="13"/>
      <c r="G217" s="13"/>
      <c r="H217" s="13"/>
      <c r="I217" s="13"/>
      <c r="J217" s="13"/>
      <c r="K217" s="13"/>
      <c r="L217" s="13"/>
      <c r="M217" s="13"/>
      <c r="N217" s="13"/>
      <c r="O217" s="13"/>
    </row>
    <row r="218" spans="2:15" x14ac:dyDescent="0.2">
      <c r="B218" s="13"/>
      <c r="C218" s="13"/>
      <c r="D218" s="13"/>
      <c r="E218" s="13"/>
      <c r="F218" s="13"/>
      <c r="G218" s="13"/>
      <c r="H218" s="13"/>
      <c r="I218" s="13"/>
      <c r="J218" s="13"/>
      <c r="K218" s="13"/>
      <c r="L218" s="13"/>
      <c r="M218" s="13"/>
      <c r="N218" s="13"/>
      <c r="O218" s="13"/>
    </row>
    <row r="219" spans="2:15" x14ac:dyDescent="0.2">
      <c r="B219" s="13"/>
      <c r="C219" s="13"/>
      <c r="D219" s="13"/>
      <c r="E219" s="13"/>
      <c r="F219" s="13"/>
      <c r="G219" s="13"/>
      <c r="H219" s="13"/>
      <c r="I219" s="13"/>
      <c r="J219" s="13"/>
      <c r="K219" s="13"/>
      <c r="L219" s="13"/>
      <c r="M219" s="13"/>
      <c r="N219" s="13"/>
      <c r="O219" s="13"/>
    </row>
    <row r="220" spans="2:15" x14ac:dyDescent="0.2">
      <c r="B220" s="13"/>
      <c r="C220" s="13"/>
      <c r="D220" s="13"/>
      <c r="E220" s="13"/>
      <c r="F220" s="13"/>
      <c r="G220" s="13"/>
      <c r="H220" s="13"/>
      <c r="I220" s="13"/>
      <c r="J220" s="13"/>
      <c r="K220" s="13"/>
      <c r="L220" s="13"/>
      <c r="M220" s="13"/>
      <c r="N220" s="13"/>
      <c r="O220" s="13"/>
    </row>
    <row r="221" spans="2:15" x14ac:dyDescent="0.2">
      <c r="B221" s="13"/>
      <c r="C221" s="13"/>
      <c r="D221" s="13"/>
      <c r="E221" s="13"/>
      <c r="F221" s="13"/>
      <c r="G221" s="13"/>
      <c r="H221" s="13"/>
      <c r="I221" s="13"/>
      <c r="J221" s="13"/>
      <c r="K221" s="13"/>
      <c r="L221" s="13"/>
      <c r="M221" s="13"/>
      <c r="N221" s="13"/>
      <c r="O221" s="13"/>
    </row>
    <row r="222" spans="2:15" x14ac:dyDescent="0.2">
      <c r="B222" s="13"/>
      <c r="C222" s="13"/>
      <c r="D222" s="13"/>
      <c r="E222" s="13"/>
      <c r="F222" s="13"/>
      <c r="G222" s="13"/>
      <c r="H222" s="13"/>
      <c r="I222" s="13"/>
      <c r="J222" s="13"/>
      <c r="K222" s="13"/>
      <c r="L222" s="13"/>
      <c r="M222" s="13"/>
      <c r="N222" s="13"/>
      <c r="O222" s="13"/>
    </row>
    <row r="223" spans="2:15" x14ac:dyDescent="0.2">
      <c r="B223" s="13"/>
      <c r="C223" s="13"/>
      <c r="D223" s="13"/>
      <c r="E223" s="13"/>
      <c r="F223" s="13"/>
      <c r="G223" s="13"/>
      <c r="H223" s="13"/>
      <c r="I223" s="13"/>
      <c r="J223" s="13"/>
      <c r="K223" s="13"/>
      <c r="L223" s="13"/>
      <c r="M223" s="13"/>
      <c r="N223" s="13"/>
      <c r="O223" s="13"/>
    </row>
    <row r="224" spans="2:15" x14ac:dyDescent="0.2">
      <c r="B224" s="13"/>
      <c r="C224" s="13"/>
      <c r="D224" s="13"/>
      <c r="E224" s="13"/>
      <c r="F224" s="13"/>
      <c r="G224" s="13"/>
      <c r="H224" s="13"/>
      <c r="I224" s="13"/>
      <c r="J224" s="13"/>
      <c r="K224" s="13"/>
      <c r="L224" s="13"/>
      <c r="M224" s="13"/>
      <c r="N224" s="13"/>
      <c r="O224" s="13"/>
    </row>
    <row r="225" spans="2:15" x14ac:dyDescent="0.2">
      <c r="B225" s="13"/>
      <c r="C225" s="13"/>
      <c r="D225" s="13"/>
      <c r="E225" s="13"/>
      <c r="F225" s="13"/>
      <c r="G225" s="13"/>
      <c r="H225" s="13"/>
      <c r="I225" s="13"/>
      <c r="J225" s="13"/>
      <c r="K225" s="13"/>
      <c r="L225" s="13"/>
      <c r="M225" s="13"/>
      <c r="N225" s="13"/>
      <c r="O225" s="13"/>
    </row>
    <row r="226" spans="2:15" x14ac:dyDescent="0.2">
      <c r="B226" s="13"/>
      <c r="C226" s="13"/>
      <c r="D226" s="13"/>
      <c r="E226" s="13"/>
      <c r="F226" s="13"/>
      <c r="G226" s="13"/>
      <c r="H226" s="13"/>
      <c r="I226" s="13"/>
      <c r="J226" s="13"/>
      <c r="K226" s="13"/>
      <c r="L226" s="13"/>
      <c r="M226" s="13"/>
      <c r="N226" s="13"/>
      <c r="O226" s="13"/>
    </row>
    <row r="227" spans="2:15" x14ac:dyDescent="0.2">
      <c r="B227" s="13"/>
      <c r="C227" s="13"/>
      <c r="D227" s="13"/>
      <c r="E227" s="13"/>
      <c r="F227" s="13"/>
      <c r="G227" s="13"/>
      <c r="H227" s="13"/>
      <c r="I227" s="13"/>
      <c r="J227" s="13"/>
      <c r="K227" s="13"/>
      <c r="L227" s="13"/>
      <c r="M227" s="13"/>
      <c r="N227" s="13"/>
      <c r="O227" s="13"/>
    </row>
    <row r="228" spans="2:15" x14ac:dyDescent="0.2">
      <c r="B228" s="13"/>
      <c r="C228" s="13"/>
      <c r="D228" s="13"/>
      <c r="E228" s="13"/>
      <c r="F228" s="13"/>
      <c r="G228" s="13"/>
      <c r="H228" s="13"/>
      <c r="I228" s="13"/>
      <c r="J228" s="13"/>
      <c r="K228" s="13"/>
      <c r="L228" s="13"/>
      <c r="M228" s="13"/>
      <c r="N228" s="13"/>
      <c r="O228" s="13"/>
    </row>
    <row r="229" spans="2:15" x14ac:dyDescent="0.2">
      <c r="B229" s="13"/>
      <c r="C229" s="13"/>
      <c r="D229" s="13"/>
      <c r="E229" s="13"/>
      <c r="F229" s="13"/>
      <c r="G229" s="13"/>
      <c r="H229" s="13"/>
      <c r="I229" s="13"/>
      <c r="J229" s="13"/>
      <c r="K229" s="13"/>
      <c r="L229" s="13"/>
      <c r="M229" s="13"/>
      <c r="N229" s="13"/>
      <c r="O229" s="13"/>
    </row>
    <row r="230" spans="2:15" x14ac:dyDescent="0.2">
      <c r="B230" s="13"/>
      <c r="C230" s="13"/>
      <c r="D230" s="13"/>
      <c r="E230" s="13"/>
      <c r="F230" s="13"/>
      <c r="G230" s="13"/>
      <c r="H230" s="13"/>
      <c r="I230" s="13"/>
      <c r="J230" s="13"/>
      <c r="K230" s="13"/>
      <c r="L230" s="13"/>
      <c r="M230" s="13"/>
      <c r="N230" s="13"/>
      <c r="O230" s="13"/>
    </row>
    <row r="231" spans="2:15" x14ac:dyDescent="0.2">
      <c r="B231" s="13"/>
      <c r="C231" s="13"/>
      <c r="D231" s="13"/>
      <c r="E231" s="13"/>
      <c r="F231" s="13"/>
      <c r="G231" s="13"/>
      <c r="H231" s="13"/>
      <c r="I231" s="13"/>
      <c r="J231" s="13"/>
      <c r="K231" s="13"/>
      <c r="L231" s="13"/>
      <c r="M231" s="13"/>
      <c r="N231" s="13"/>
      <c r="O231" s="13"/>
    </row>
    <row r="232" spans="2:15" x14ac:dyDescent="0.2">
      <c r="B232" s="13"/>
      <c r="C232" s="13"/>
      <c r="D232" s="13"/>
      <c r="E232" s="13"/>
      <c r="F232" s="13"/>
      <c r="G232" s="13"/>
      <c r="H232" s="13"/>
      <c r="I232" s="13"/>
      <c r="J232" s="13"/>
      <c r="K232" s="13"/>
      <c r="L232" s="13"/>
      <c r="M232" s="13"/>
      <c r="N232" s="13"/>
      <c r="O232" s="13"/>
    </row>
    <row r="233" spans="2:15" x14ac:dyDescent="0.2">
      <c r="B233" s="13"/>
      <c r="C233" s="13"/>
      <c r="D233" s="13"/>
      <c r="E233" s="13"/>
      <c r="F233" s="13"/>
      <c r="G233" s="13"/>
      <c r="H233" s="13"/>
      <c r="I233" s="13"/>
      <c r="J233" s="13"/>
      <c r="K233" s="13"/>
      <c r="L233" s="13"/>
      <c r="M233" s="13"/>
      <c r="N233" s="13"/>
      <c r="O233" s="13"/>
    </row>
    <row r="234" spans="2:15" x14ac:dyDescent="0.2">
      <c r="B234" s="13"/>
      <c r="C234" s="13"/>
      <c r="D234" s="13"/>
      <c r="E234" s="13"/>
      <c r="F234" s="13"/>
      <c r="G234" s="13"/>
      <c r="H234" s="13"/>
      <c r="I234" s="13"/>
      <c r="J234" s="13"/>
      <c r="K234" s="13"/>
      <c r="L234" s="13"/>
      <c r="M234" s="13"/>
      <c r="N234" s="13"/>
      <c r="O234" s="13"/>
    </row>
    <row r="235" spans="2:15" x14ac:dyDescent="0.2">
      <c r="B235" s="13"/>
      <c r="C235" s="13"/>
      <c r="D235" s="13"/>
      <c r="E235" s="13"/>
      <c r="F235" s="13"/>
      <c r="G235" s="13"/>
      <c r="H235" s="13"/>
      <c r="I235" s="13"/>
      <c r="J235" s="13"/>
      <c r="K235" s="13"/>
      <c r="L235" s="13"/>
      <c r="M235" s="13"/>
      <c r="N235" s="13"/>
      <c r="O235" s="13"/>
    </row>
    <row r="236" spans="2:15" x14ac:dyDescent="0.2">
      <c r="B236" s="13"/>
      <c r="C236" s="13"/>
      <c r="D236" s="13"/>
      <c r="E236" s="13"/>
      <c r="F236" s="13"/>
      <c r="G236" s="13"/>
      <c r="H236" s="13"/>
      <c r="I236" s="13"/>
      <c r="J236" s="13"/>
      <c r="K236" s="13"/>
      <c r="L236" s="13"/>
      <c r="M236" s="13"/>
      <c r="N236" s="13"/>
      <c r="O236" s="13"/>
    </row>
    <row r="237" spans="2:15" x14ac:dyDescent="0.2">
      <c r="B237" s="13"/>
      <c r="C237" s="13"/>
      <c r="D237" s="13"/>
      <c r="E237" s="13"/>
      <c r="F237" s="13"/>
      <c r="G237" s="13"/>
      <c r="H237" s="13"/>
      <c r="I237" s="13"/>
      <c r="J237" s="13"/>
      <c r="K237" s="13"/>
      <c r="L237" s="13"/>
      <c r="M237" s="13"/>
      <c r="N237" s="13"/>
      <c r="O237" s="13"/>
    </row>
    <row r="238" spans="2:15" x14ac:dyDescent="0.2">
      <c r="B238" s="13"/>
      <c r="C238" s="13"/>
      <c r="D238" s="13"/>
      <c r="E238" s="13"/>
      <c r="F238" s="13"/>
      <c r="G238" s="13"/>
      <c r="H238" s="13"/>
      <c r="I238" s="13"/>
      <c r="J238" s="13"/>
      <c r="K238" s="13"/>
      <c r="L238" s="13"/>
      <c r="M238" s="13"/>
      <c r="N238" s="13"/>
      <c r="O238" s="13"/>
    </row>
    <row r="239" spans="2:15" x14ac:dyDescent="0.2">
      <c r="B239" s="13"/>
      <c r="C239" s="13"/>
      <c r="D239" s="13"/>
      <c r="E239" s="13"/>
      <c r="F239" s="13"/>
      <c r="G239" s="13"/>
      <c r="H239" s="13"/>
      <c r="I239" s="13"/>
      <c r="J239" s="13"/>
      <c r="K239" s="13"/>
      <c r="L239" s="13"/>
      <c r="M239" s="13"/>
      <c r="N239" s="13"/>
      <c r="O239" s="13"/>
    </row>
    <row r="240" spans="2:15" x14ac:dyDescent="0.2">
      <c r="B240" s="13"/>
      <c r="C240" s="13"/>
      <c r="D240" s="13"/>
      <c r="E240" s="13"/>
      <c r="F240" s="13"/>
      <c r="G240" s="13"/>
      <c r="H240" s="13"/>
      <c r="I240" s="13"/>
      <c r="J240" s="13"/>
      <c r="K240" s="13"/>
      <c r="L240" s="13"/>
      <c r="M240" s="13"/>
      <c r="N240" s="13"/>
      <c r="O240" s="13"/>
    </row>
    <row r="241" spans="2:15" x14ac:dyDescent="0.2">
      <c r="B241" s="13"/>
      <c r="C241" s="13"/>
      <c r="D241" s="13"/>
      <c r="E241" s="13"/>
      <c r="F241" s="13"/>
      <c r="G241" s="13"/>
      <c r="H241" s="13"/>
      <c r="I241" s="13"/>
      <c r="J241" s="13"/>
      <c r="K241" s="13"/>
      <c r="L241" s="13"/>
      <c r="M241" s="13"/>
      <c r="N241" s="13"/>
      <c r="O241" s="13"/>
    </row>
    <row r="242" spans="2:15" x14ac:dyDescent="0.2">
      <c r="B242" s="13"/>
      <c r="C242" s="13"/>
      <c r="D242" s="13"/>
      <c r="E242" s="13"/>
      <c r="F242" s="13"/>
      <c r="G242" s="13"/>
      <c r="H242" s="13"/>
      <c r="I242" s="13"/>
      <c r="J242" s="13"/>
      <c r="K242" s="13"/>
      <c r="L242" s="13"/>
      <c r="M242" s="13"/>
      <c r="N242" s="13"/>
      <c r="O242" s="13"/>
    </row>
    <row r="243" spans="2:15" x14ac:dyDescent="0.2">
      <c r="B243" s="13"/>
      <c r="C243" s="13"/>
      <c r="D243" s="13"/>
      <c r="E243" s="13"/>
      <c r="F243" s="13"/>
      <c r="G243" s="13"/>
      <c r="H243" s="13"/>
      <c r="I243" s="13"/>
      <c r="J243" s="13"/>
      <c r="K243" s="13"/>
      <c r="L243" s="13"/>
      <c r="M243" s="13"/>
      <c r="N243" s="13"/>
      <c r="O243" s="13"/>
    </row>
    <row r="244" spans="2:15" x14ac:dyDescent="0.2">
      <c r="B244" s="13"/>
      <c r="C244" s="13"/>
      <c r="D244" s="13"/>
      <c r="E244" s="13"/>
      <c r="F244" s="13"/>
      <c r="G244" s="13"/>
      <c r="H244" s="13"/>
      <c r="I244" s="13"/>
      <c r="J244" s="13"/>
      <c r="K244" s="13"/>
      <c r="L244" s="13"/>
      <c r="M244" s="13"/>
      <c r="N244" s="13"/>
      <c r="O244" s="13"/>
    </row>
    <row r="245" spans="2:15" x14ac:dyDescent="0.2">
      <c r="B245" s="13"/>
      <c r="C245" s="13"/>
      <c r="D245" s="13"/>
      <c r="E245" s="13"/>
      <c r="F245" s="13"/>
      <c r="G245" s="13"/>
      <c r="H245" s="13"/>
      <c r="I245" s="13"/>
      <c r="J245" s="13"/>
      <c r="K245" s="13"/>
      <c r="L245" s="13"/>
      <c r="M245" s="13"/>
      <c r="N245" s="13"/>
      <c r="O245" s="13"/>
    </row>
    <row r="246" spans="2:15" x14ac:dyDescent="0.2">
      <c r="B246" s="13"/>
      <c r="C246" s="13"/>
      <c r="D246" s="13"/>
      <c r="E246" s="13"/>
      <c r="F246" s="13"/>
      <c r="G246" s="13"/>
      <c r="H246" s="13"/>
      <c r="I246" s="13"/>
      <c r="J246" s="13"/>
      <c r="K246" s="13"/>
      <c r="L246" s="13"/>
      <c r="M246" s="13"/>
      <c r="N246" s="13"/>
      <c r="O246" s="13"/>
    </row>
    <row r="247" spans="2:15" x14ac:dyDescent="0.2">
      <c r="B247" s="13"/>
      <c r="C247" s="13"/>
      <c r="D247" s="13"/>
      <c r="E247" s="13"/>
      <c r="F247" s="13"/>
      <c r="G247" s="13"/>
      <c r="H247" s="13"/>
      <c r="I247" s="13"/>
      <c r="J247" s="13"/>
      <c r="K247" s="13"/>
      <c r="L247" s="13"/>
      <c r="M247" s="13"/>
      <c r="N247" s="13"/>
      <c r="O247" s="13"/>
    </row>
    <row r="248" spans="2:15" x14ac:dyDescent="0.2">
      <c r="B248" s="13"/>
      <c r="C248" s="13"/>
      <c r="D248" s="13"/>
      <c r="E248" s="13"/>
      <c r="F248" s="13"/>
      <c r="G248" s="13"/>
      <c r="H248" s="13"/>
      <c r="I248" s="13"/>
      <c r="J248" s="13"/>
      <c r="K248" s="13"/>
      <c r="L248" s="13"/>
      <c r="M248" s="13"/>
      <c r="N248" s="13"/>
      <c r="O248" s="13"/>
    </row>
    <row r="249" spans="2:15" x14ac:dyDescent="0.2">
      <c r="B249" s="13"/>
      <c r="C249" s="13"/>
      <c r="D249" s="13"/>
      <c r="E249" s="13"/>
      <c r="F249" s="13"/>
      <c r="G249" s="13"/>
      <c r="H249" s="13"/>
      <c r="I249" s="13"/>
      <c r="J249" s="13"/>
      <c r="K249" s="13"/>
      <c r="L249" s="13"/>
      <c r="M249" s="13"/>
      <c r="N249" s="13"/>
      <c r="O249" s="13"/>
    </row>
    <row r="250" spans="2:15" x14ac:dyDescent="0.2">
      <c r="B250" s="13"/>
      <c r="C250" s="13"/>
      <c r="D250" s="13"/>
      <c r="E250" s="13"/>
      <c r="F250" s="13"/>
      <c r="G250" s="13"/>
      <c r="H250" s="13"/>
      <c r="I250" s="13"/>
      <c r="J250" s="13"/>
      <c r="K250" s="13"/>
      <c r="L250" s="13"/>
      <c r="M250" s="13"/>
      <c r="N250" s="13"/>
      <c r="O250" s="13"/>
    </row>
    <row r="251" spans="2:15" x14ac:dyDescent="0.2">
      <c r="B251" s="13"/>
      <c r="C251" s="13"/>
      <c r="D251" s="13"/>
      <c r="E251" s="13"/>
      <c r="F251" s="13"/>
      <c r="G251" s="13"/>
      <c r="H251" s="13"/>
      <c r="I251" s="13"/>
      <c r="J251" s="13"/>
      <c r="K251" s="13"/>
      <c r="L251" s="13"/>
      <c r="M251" s="13"/>
      <c r="N251" s="13"/>
      <c r="O251" s="13"/>
    </row>
    <row r="252" spans="2:15" x14ac:dyDescent="0.2">
      <c r="B252" s="13"/>
      <c r="C252" s="13"/>
      <c r="D252" s="13"/>
      <c r="E252" s="13"/>
      <c r="F252" s="13"/>
      <c r="G252" s="13"/>
      <c r="H252" s="13"/>
      <c r="I252" s="13"/>
      <c r="J252" s="13"/>
      <c r="K252" s="13"/>
      <c r="L252" s="13"/>
      <c r="M252" s="13"/>
      <c r="N252" s="13"/>
      <c r="O252" s="13"/>
    </row>
    <row r="253" spans="2:15" x14ac:dyDescent="0.2">
      <c r="B253" s="13"/>
      <c r="C253" s="13"/>
      <c r="D253" s="13"/>
      <c r="E253" s="13"/>
      <c r="F253" s="13"/>
      <c r="G253" s="13"/>
      <c r="H253" s="13"/>
      <c r="I253" s="13"/>
      <c r="J253" s="13"/>
      <c r="K253" s="13"/>
      <c r="L253" s="13"/>
      <c r="M253" s="13"/>
      <c r="N253" s="13"/>
      <c r="O253" s="13"/>
    </row>
    <row r="254" spans="2:15" x14ac:dyDescent="0.2">
      <c r="B254" s="13"/>
      <c r="C254" s="13"/>
      <c r="D254" s="13"/>
      <c r="E254" s="13"/>
      <c r="F254" s="13"/>
      <c r="G254" s="13"/>
      <c r="H254" s="13"/>
      <c r="I254" s="13"/>
      <c r="J254" s="13"/>
      <c r="K254" s="13"/>
      <c r="L254" s="13"/>
      <c r="M254" s="13"/>
      <c r="N254" s="13"/>
      <c r="O254" s="13"/>
    </row>
    <row r="255" spans="2:15" x14ac:dyDescent="0.2">
      <c r="B255" s="13"/>
      <c r="C255" s="13"/>
      <c r="D255" s="13"/>
      <c r="E255" s="13"/>
      <c r="F255" s="13"/>
      <c r="G255" s="13"/>
      <c r="H255" s="13"/>
      <c r="I255" s="13"/>
      <c r="J255" s="13"/>
      <c r="K255" s="13"/>
      <c r="L255" s="13"/>
      <c r="M255" s="13"/>
      <c r="N255" s="13"/>
      <c r="O255" s="13"/>
    </row>
    <row r="256" spans="2:15" x14ac:dyDescent="0.2">
      <c r="B256" s="13"/>
      <c r="C256" s="13"/>
      <c r="D256" s="13"/>
      <c r="E256" s="13"/>
      <c r="F256" s="13"/>
      <c r="G256" s="13"/>
      <c r="H256" s="13"/>
      <c r="I256" s="13"/>
      <c r="J256" s="13"/>
      <c r="K256" s="13"/>
      <c r="L256" s="13"/>
      <c r="M256" s="13"/>
      <c r="N256" s="13"/>
      <c r="O256" s="13"/>
    </row>
    <row r="257" spans="2:15" x14ac:dyDescent="0.2">
      <c r="B257" s="13"/>
      <c r="C257" s="13"/>
      <c r="D257" s="13"/>
      <c r="E257" s="13"/>
      <c r="F257" s="13"/>
      <c r="G257" s="13"/>
      <c r="H257" s="13"/>
      <c r="I257" s="13"/>
      <c r="J257" s="13"/>
      <c r="K257" s="13"/>
      <c r="L257" s="13"/>
      <c r="M257" s="13"/>
      <c r="N257" s="13"/>
      <c r="O257" s="13"/>
    </row>
    <row r="258" spans="2:15" x14ac:dyDescent="0.2">
      <c r="B258" s="13"/>
      <c r="C258" s="13"/>
      <c r="D258" s="13"/>
      <c r="E258" s="13"/>
      <c r="F258" s="13"/>
      <c r="G258" s="13"/>
      <c r="H258" s="13"/>
      <c r="I258" s="13"/>
      <c r="J258" s="13"/>
      <c r="K258" s="13"/>
      <c r="L258" s="13"/>
      <c r="M258" s="13"/>
      <c r="N258" s="13"/>
      <c r="O258" s="13"/>
    </row>
    <row r="259" spans="2:15" x14ac:dyDescent="0.2">
      <c r="B259" s="13"/>
      <c r="C259" s="13"/>
      <c r="D259" s="13"/>
      <c r="E259" s="13"/>
      <c r="F259" s="13"/>
      <c r="G259" s="13"/>
      <c r="H259" s="13"/>
      <c r="I259" s="13"/>
      <c r="J259" s="13"/>
      <c r="K259" s="13"/>
      <c r="L259" s="13"/>
      <c r="M259" s="13"/>
      <c r="N259" s="13"/>
      <c r="O259" s="13"/>
    </row>
    <row r="260" spans="2:15" x14ac:dyDescent="0.2">
      <c r="B260" s="13"/>
      <c r="C260" s="13"/>
      <c r="D260" s="13"/>
      <c r="E260" s="13"/>
      <c r="F260" s="13"/>
      <c r="G260" s="13"/>
      <c r="H260" s="13"/>
      <c r="I260" s="13"/>
      <c r="J260" s="13"/>
      <c r="K260" s="13"/>
      <c r="L260" s="13"/>
      <c r="M260" s="13"/>
      <c r="N260" s="13"/>
      <c r="O260" s="13"/>
    </row>
    <row r="261" spans="2:15" x14ac:dyDescent="0.2">
      <c r="B261" s="13"/>
      <c r="C261" s="13"/>
      <c r="D261" s="13"/>
      <c r="E261" s="13"/>
      <c r="F261" s="13"/>
      <c r="G261" s="13"/>
      <c r="H261" s="13"/>
      <c r="I261" s="13"/>
      <c r="J261" s="13"/>
      <c r="K261" s="13"/>
      <c r="L261" s="13"/>
      <c r="M261" s="13"/>
      <c r="N261" s="13"/>
      <c r="O261" s="13"/>
    </row>
    <row r="262" spans="2:15" x14ac:dyDescent="0.2">
      <c r="B262" s="13"/>
      <c r="C262" s="13"/>
      <c r="D262" s="13"/>
      <c r="E262" s="13"/>
      <c r="F262" s="13"/>
      <c r="G262" s="13"/>
      <c r="H262" s="13"/>
      <c r="I262" s="13"/>
      <c r="J262" s="13"/>
      <c r="K262" s="13"/>
      <c r="L262" s="13"/>
      <c r="M262" s="13"/>
      <c r="N262" s="13"/>
      <c r="O262" s="13"/>
    </row>
    <row r="263" spans="2:15" x14ac:dyDescent="0.2">
      <c r="B263" s="13"/>
      <c r="C263" s="13"/>
      <c r="D263" s="13"/>
      <c r="E263" s="13"/>
      <c r="F263" s="13"/>
      <c r="G263" s="13"/>
      <c r="H263" s="13"/>
      <c r="I263" s="13"/>
      <c r="J263" s="13"/>
      <c r="K263" s="13"/>
      <c r="L263" s="13"/>
      <c r="M263" s="13"/>
      <c r="N263" s="13"/>
      <c r="O263" s="13"/>
    </row>
    <row r="264" spans="2:15" x14ac:dyDescent="0.2">
      <c r="B264" s="13"/>
      <c r="C264" s="13"/>
      <c r="D264" s="13"/>
      <c r="E264" s="13"/>
      <c r="F264" s="13"/>
      <c r="G264" s="13"/>
      <c r="H264" s="13"/>
      <c r="I264" s="13"/>
      <c r="J264" s="13"/>
      <c r="K264" s="13"/>
      <c r="L264" s="13"/>
      <c r="M264" s="13"/>
      <c r="N264" s="13"/>
      <c r="O264" s="13"/>
    </row>
    <row r="265" spans="2:15" x14ac:dyDescent="0.2">
      <c r="B265" s="13"/>
      <c r="C265" s="13"/>
      <c r="D265" s="13"/>
      <c r="E265" s="13"/>
      <c r="F265" s="13"/>
      <c r="G265" s="13"/>
      <c r="H265" s="13"/>
      <c r="I265" s="13"/>
      <c r="J265" s="13"/>
      <c r="K265" s="13"/>
      <c r="L265" s="13"/>
      <c r="M265" s="13"/>
      <c r="N265" s="13"/>
      <c r="O265" s="13"/>
    </row>
    <row r="266" spans="2:15" x14ac:dyDescent="0.2">
      <c r="B266" s="13"/>
      <c r="C266" s="13"/>
      <c r="D266" s="13"/>
      <c r="E266" s="13"/>
      <c r="F266" s="13"/>
      <c r="G266" s="13"/>
      <c r="H266" s="13"/>
      <c r="I266" s="13"/>
      <c r="J266" s="13"/>
      <c r="K266" s="13"/>
      <c r="L266" s="13"/>
      <c r="M266" s="13"/>
      <c r="N266" s="13"/>
      <c r="O266" s="13"/>
    </row>
    <row r="267" spans="2:15" x14ac:dyDescent="0.2">
      <c r="B267" s="13"/>
      <c r="C267" s="13"/>
      <c r="D267" s="13"/>
      <c r="E267" s="13"/>
      <c r="F267" s="13"/>
      <c r="G267" s="13"/>
      <c r="H267" s="13"/>
      <c r="I267" s="13"/>
      <c r="J267" s="13"/>
      <c r="K267" s="13"/>
      <c r="L267" s="13"/>
      <c r="M267" s="13"/>
      <c r="N267" s="13"/>
      <c r="O267" s="13"/>
    </row>
    <row r="268" spans="2:15" x14ac:dyDescent="0.2">
      <c r="B268" s="13"/>
      <c r="C268" s="13"/>
      <c r="D268" s="13"/>
      <c r="E268" s="13"/>
      <c r="F268" s="13"/>
      <c r="G268" s="13"/>
      <c r="H268" s="13"/>
      <c r="I268" s="13"/>
      <c r="J268" s="13"/>
      <c r="K268" s="13"/>
      <c r="L268" s="13"/>
      <c r="M268" s="13"/>
      <c r="N268" s="13"/>
      <c r="O268" s="13"/>
    </row>
    <row r="269" spans="2:15" x14ac:dyDescent="0.2">
      <c r="B269" s="13"/>
      <c r="C269" s="13"/>
      <c r="D269" s="13"/>
      <c r="E269" s="13"/>
      <c r="F269" s="13"/>
      <c r="G269" s="13"/>
      <c r="H269" s="13"/>
      <c r="I269" s="13"/>
      <c r="J269" s="13"/>
      <c r="K269" s="13"/>
      <c r="L269" s="13"/>
      <c r="M269" s="13"/>
      <c r="N269" s="13"/>
      <c r="O269" s="13"/>
    </row>
    <row r="270" spans="2:15" x14ac:dyDescent="0.2">
      <c r="B270" s="13"/>
      <c r="C270" s="13"/>
      <c r="D270" s="13"/>
      <c r="E270" s="13"/>
      <c r="F270" s="13"/>
      <c r="G270" s="13"/>
      <c r="H270" s="13"/>
      <c r="I270" s="13"/>
      <c r="J270" s="13"/>
      <c r="K270" s="13"/>
      <c r="L270" s="13"/>
      <c r="M270" s="13"/>
      <c r="N270" s="13"/>
      <c r="O270" s="13"/>
    </row>
    <row r="271" spans="2:15" x14ac:dyDescent="0.2">
      <c r="B271" s="13"/>
      <c r="C271" s="13"/>
      <c r="D271" s="13"/>
      <c r="E271" s="13"/>
      <c r="F271" s="13"/>
      <c r="G271" s="13"/>
      <c r="H271" s="13"/>
      <c r="I271" s="13"/>
      <c r="J271" s="13"/>
      <c r="K271" s="13"/>
      <c r="L271" s="13"/>
      <c r="M271" s="13"/>
      <c r="N271" s="13"/>
      <c r="O271" s="13"/>
    </row>
    <row r="272" spans="2:15" x14ac:dyDescent="0.2">
      <c r="B272" s="13"/>
      <c r="C272" s="13"/>
      <c r="D272" s="13"/>
      <c r="E272" s="13"/>
      <c r="F272" s="13"/>
      <c r="G272" s="13"/>
      <c r="H272" s="13"/>
      <c r="I272" s="13"/>
      <c r="J272" s="13"/>
      <c r="K272" s="13"/>
      <c r="L272" s="13"/>
      <c r="M272" s="13"/>
      <c r="N272" s="13"/>
      <c r="O272" s="13"/>
    </row>
    <row r="273" spans="2:15" x14ac:dyDescent="0.2">
      <c r="B273" s="13"/>
      <c r="C273" s="13"/>
      <c r="D273" s="13"/>
      <c r="E273" s="13"/>
      <c r="F273" s="13"/>
      <c r="G273" s="13"/>
      <c r="H273" s="13"/>
      <c r="I273" s="13"/>
      <c r="J273" s="13"/>
      <c r="K273" s="13"/>
      <c r="L273" s="13"/>
      <c r="M273" s="13"/>
      <c r="N273" s="13"/>
      <c r="O273" s="13"/>
    </row>
    <row r="274" spans="2:15" x14ac:dyDescent="0.2">
      <c r="B274" s="13"/>
      <c r="C274" s="13"/>
      <c r="D274" s="13"/>
      <c r="E274" s="13"/>
      <c r="F274" s="13"/>
      <c r="G274" s="13"/>
      <c r="H274" s="13"/>
      <c r="I274" s="13"/>
      <c r="J274" s="13"/>
      <c r="K274" s="13"/>
      <c r="L274" s="13"/>
      <c r="M274" s="13"/>
      <c r="N274" s="13"/>
      <c r="O274" s="13"/>
    </row>
    <row r="275" spans="2:15" x14ac:dyDescent="0.2">
      <c r="B275" s="13"/>
      <c r="C275" s="13"/>
      <c r="D275" s="13"/>
      <c r="E275" s="13"/>
      <c r="F275" s="13"/>
      <c r="G275" s="13"/>
      <c r="H275" s="13"/>
      <c r="I275" s="13"/>
      <c r="J275" s="13"/>
      <c r="K275" s="13"/>
      <c r="L275" s="13"/>
      <c r="M275" s="13"/>
      <c r="N275" s="13"/>
      <c r="O275" s="13"/>
    </row>
    <row r="276" spans="2:15" x14ac:dyDescent="0.2">
      <c r="B276" s="13"/>
      <c r="C276" s="13"/>
      <c r="D276" s="13"/>
      <c r="E276" s="13"/>
      <c r="F276" s="13"/>
      <c r="G276" s="13"/>
      <c r="H276" s="13"/>
      <c r="I276" s="13"/>
      <c r="J276" s="13"/>
      <c r="K276" s="13"/>
      <c r="L276" s="13"/>
      <c r="M276" s="13"/>
      <c r="N276" s="13"/>
      <c r="O276" s="13"/>
    </row>
    <row r="277" spans="2:15" x14ac:dyDescent="0.2">
      <c r="B277" s="13"/>
      <c r="C277" s="13"/>
      <c r="D277" s="13"/>
      <c r="E277" s="13"/>
      <c r="F277" s="13"/>
      <c r="G277" s="13"/>
      <c r="H277" s="13"/>
      <c r="I277" s="13"/>
      <c r="J277" s="13"/>
      <c r="K277" s="13"/>
      <c r="L277" s="13"/>
      <c r="M277" s="13"/>
      <c r="N277" s="13"/>
      <c r="O277" s="13"/>
    </row>
    <row r="278" spans="2:15" x14ac:dyDescent="0.2">
      <c r="B278" s="13"/>
      <c r="C278" s="13"/>
      <c r="D278" s="13"/>
      <c r="E278" s="13"/>
      <c r="F278" s="13"/>
      <c r="G278" s="13"/>
      <c r="H278" s="13"/>
      <c r="I278" s="13"/>
      <c r="J278" s="13"/>
      <c r="K278" s="13"/>
      <c r="L278" s="13"/>
      <c r="M278" s="13"/>
      <c r="N278" s="13"/>
      <c r="O278" s="13"/>
    </row>
    <row r="279" spans="2:15" x14ac:dyDescent="0.2">
      <c r="B279" s="13"/>
      <c r="C279" s="13"/>
      <c r="D279" s="13"/>
      <c r="E279" s="13"/>
      <c r="F279" s="13"/>
      <c r="G279" s="13"/>
      <c r="H279" s="13"/>
      <c r="I279" s="13"/>
      <c r="J279" s="13"/>
      <c r="K279" s="13"/>
      <c r="L279" s="13"/>
      <c r="M279" s="13"/>
      <c r="N279" s="13"/>
      <c r="O279" s="13"/>
    </row>
    <row r="280" spans="2:15" x14ac:dyDescent="0.2">
      <c r="B280" s="13"/>
      <c r="C280" s="13"/>
      <c r="D280" s="13"/>
      <c r="E280" s="13"/>
      <c r="F280" s="13"/>
      <c r="G280" s="13"/>
      <c r="H280" s="13"/>
      <c r="I280" s="13"/>
      <c r="J280" s="13"/>
      <c r="K280" s="13"/>
      <c r="L280" s="13"/>
      <c r="M280" s="13"/>
      <c r="N280" s="13"/>
      <c r="O280" s="13"/>
    </row>
    <row r="281" spans="2:15" x14ac:dyDescent="0.2">
      <c r="B281" s="13"/>
      <c r="C281" s="13"/>
      <c r="D281" s="13"/>
      <c r="E281" s="13"/>
      <c r="F281" s="13"/>
      <c r="G281" s="13"/>
      <c r="H281" s="13"/>
      <c r="I281" s="13"/>
      <c r="J281" s="13"/>
      <c r="K281" s="13"/>
      <c r="L281" s="13"/>
      <c r="M281" s="13"/>
      <c r="N281" s="13"/>
      <c r="O281" s="13"/>
    </row>
    <row r="282" spans="2:15" x14ac:dyDescent="0.2">
      <c r="B282" s="13"/>
      <c r="C282" s="13"/>
      <c r="D282" s="13"/>
      <c r="E282" s="13"/>
      <c r="F282" s="13"/>
      <c r="G282" s="13"/>
      <c r="H282" s="13"/>
      <c r="I282" s="13"/>
      <c r="J282" s="13"/>
      <c r="K282" s="13"/>
      <c r="L282" s="13"/>
      <c r="M282" s="13"/>
      <c r="N282" s="13"/>
      <c r="O282" s="13"/>
    </row>
    <row r="283" spans="2:15" x14ac:dyDescent="0.2">
      <c r="B283" s="13"/>
      <c r="C283" s="13"/>
      <c r="D283" s="13"/>
      <c r="E283" s="13"/>
      <c r="F283" s="13"/>
      <c r="G283" s="13"/>
      <c r="H283" s="13"/>
      <c r="I283" s="13"/>
      <c r="J283" s="13"/>
      <c r="K283" s="13"/>
      <c r="L283" s="13"/>
      <c r="M283" s="13"/>
      <c r="N283" s="13"/>
      <c r="O283" s="13"/>
    </row>
    <row r="284" spans="2:15" x14ac:dyDescent="0.2">
      <c r="B284" s="13"/>
      <c r="C284" s="13"/>
      <c r="D284" s="13"/>
      <c r="E284" s="13"/>
      <c r="F284" s="13"/>
      <c r="G284" s="13"/>
      <c r="H284" s="13"/>
      <c r="I284" s="13"/>
      <c r="J284" s="13"/>
      <c r="K284" s="13"/>
      <c r="L284" s="13"/>
      <c r="M284" s="13"/>
      <c r="N284" s="13"/>
      <c r="O284" s="13"/>
    </row>
    <row r="285" spans="2:15" x14ac:dyDescent="0.2">
      <c r="B285" s="13"/>
      <c r="C285" s="13"/>
      <c r="D285" s="13"/>
      <c r="E285" s="13"/>
      <c r="F285" s="13"/>
      <c r="G285" s="13"/>
      <c r="H285" s="13"/>
      <c r="I285" s="13"/>
      <c r="J285" s="13"/>
      <c r="K285" s="13"/>
      <c r="L285" s="13"/>
      <c r="M285" s="13"/>
      <c r="N285" s="13"/>
      <c r="O285" s="13"/>
    </row>
    <row r="286" spans="2:15" x14ac:dyDescent="0.2">
      <c r="B286" s="13"/>
      <c r="C286" s="13"/>
      <c r="D286" s="13"/>
      <c r="E286" s="13"/>
      <c r="F286" s="13"/>
      <c r="G286" s="13"/>
      <c r="H286" s="13"/>
      <c r="I286" s="13"/>
      <c r="J286" s="13"/>
      <c r="K286" s="13"/>
      <c r="L286" s="13"/>
      <c r="M286" s="13"/>
      <c r="N286" s="13"/>
      <c r="O286" s="13"/>
    </row>
    <row r="287" spans="2:15" x14ac:dyDescent="0.2">
      <c r="B287" s="13"/>
      <c r="C287" s="13"/>
      <c r="D287" s="13"/>
      <c r="E287" s="13"/>
      <c r="F287" s="13"/>
      <c r="G287" s="13"/>
      <c r="H287" s="13"/>
      <c r="I287" s="13"/>
      <c r="J287" s="13"/>
      <c r="K287" s="13"/>
      <c r="L287" s="13"/>
      <c r="M287" s="13"/>
      <c r="N287" s="13"/>
      <c r="O287" s="13"/>
    </row>
    <row r="288" spans="2:15" x14ac:dyDescent="0.2">
      <c r="B288" s="13"/>
      <c r="C288" s="13"/>
      <c r="D288" s="13"/>
      <c r="E288" s="13"/>
      <c r="F288" s="13"/>
      <c r="G288" s="13"/>
      <c r="H288" s="13"/>
      <c r="I288" s="13"/>
      <c r="J288" s="13"/>
      <c r="K288" s="13"/>
      <c r="L288" s="13"/>
      <c r="M288" s="13"/>
      <c r="N288" s="13"/>
      <c r="O288" s="13"/>
    </row>
    <row r="289" spans="2:15" x14ac:dyDescent="0.2">
      <c r="B289" s="13"/>
      <c r="C289" s="13"/>
      <c r="D289" s="13"/>
      <c r="E289" s="13"/>
      <c r="F289" s="13"/>
      <c r="G289" s="13"/>
      <c r="H289" s="13"/>
      <c r="I289" s="13"/>
      <c r="J289" s="13"/>
      <c r="K289" s="13"/>
      <c r="L289" s="13"/>
      <c r="M289" s="13"/>
      <c r="N289" s="13"/>
      <c r="O289" s="13"/>
    </row>
    <row r="290" spans="2:15" x14ac:dyDescent="0.2">
      <c r="B290" s="13"/>
      <c r="C290" s="13"/>
      <c r="D290" s="13"/>
      <c r="E290" s="13"/>
      <c r="F290" s="13"/>
      <c r="G290" s="13"/>
      <c r="H290" s="13"/>
      <c r="I290" s="13"/>
      <c r="J290" s="13"/>
      <c r="K290" s="13"/>
      <c r="L290" s="13"/>
      <c r="M290" s="13"/>
      <c r="N290" s="13"/>
      <c r="O290" s="13"/>
    </row>
    <row r="291" spans="2:15" x14ac:dyDescent="0.2">
      <c r="B291" s="13"/>
      <c r="C291" s="13"/>
      <c r="D291" s="13"/>
      <c r="E291" s="13"/>
      <c r="F291" s="13"/>
      <c r="G291" s="13"/>
      <c r="H291" s="13"/>
      <c r="I291" s="13"/>
      <c r="J291" s="13"/>
      <c r="K291" s="13"/>
      <c r="L291" s="13"/>
      <c r="M291" s="13"/>
      <c r="N291" s="13"/>
      <c r="O291" s="13"/>
    </row>
    <row r="292" spans="2:15" x14ac:dyDescent="0.2">
      <c r="B292" s="13"/>
      <c r="C292" s="13"/>
      <c r="D292" s="13"/>
      <c r="E292" s="13"/>
      <c r="F292" s="13"/>
      <c r="G292" s="13"/>
      <c r="H292" s="13"/>
      <c r="I292" s="13"/>
      <c r="J292" s="13"/>
      <c r="K292" s="13"/>
      <c r="L292" s="13"/>
      <c r="M292" s="13"/>
      <c r="N292" s="13"/>
      <c r="O292" s="13"/>
    </row>
    <row r="293" spans="2:15" x14ac:dyDescent="0.2">
      <c r="B293" s="13"/>
      <c r="C293" s="13"/>
      <c r="D293" s="13"/>
      <c r="E293" s="13"/>
      <c r="F293" s="13"/>
      <c r="G293" s="13"/>
      <c r="H293" s="13"/>
      <c r="I293" s="13"/>
      <c r="J293" s="13"/>
      <c r="K293" s="13"/>
      <c r="L293" s="13"/>
      <c r="M293" s="13"/>
      <c r="N293" s="13"/>
      <c r="O293" s="13"/>
    </row>
    <row r="294" spans="2:15" x14ac:dyDescent="0.2">
      <c r="B294" s="13"/>
      <c r="C294" s="13"/>
      <c r="D294" s="13"/>
      <c r="E294" s="13"/>
      <c r="F294" s="13"/>
      <c r="G294" s="13"/>
      <c r="H294" s="13"/>
      <c r="I294" s="13"/>
      <c r="J294" s="13"/>
      <c r="K294" s="13"/>
      <c r="L294" s="13"/>
      <c r="M294" s="13"/>
      <c r="N294" s="13"/>
      <c r="O294" s="13"/>
    </row>
    <row r="295" spans="2:15" x14ac:dyDescent="0.2">
      <c r="B295" s="13"/>
      <c r="C295" s="13"/>
      <c r="D295" s="13"/>
      <c r="E295" s="13"/>
      <c r="F295" s="13"/>
      <c r="G295" s="13"/>
      <c r="H295" s="13"/>
      <c r="I295" s="13"/>
      <c r="J295" s="13"/>
      <c r="K295" s="13"/>
      <c r="L295" s="13"/>
      <c r="M295" s="13"/>
      <c r="N295" s="13"/>
      <c r="O295" s="13"/>
    </row>
    <row r="296" spans="2:15" x14ac:dyDescent="0.2">
      <c r="B296" s="13"/>
      <c r="C296" s="13"/>
      <c r="D296" s="13"/>
      <c r="E296" s="13"/>
      <c r="F296" s="13"/>
      <c r="G296" s="13"/>
      <c r="H296" s="13"/>
      <c r="I296" s="13"/>
      <c r="J296" s="13"/>
      <c r="K296" s="13"/>
      <c r="L296" s="13"/>
      <c r="M296" s="13"/>
      <c r="N296" s="13"/>
      <c r="O296" s="13"/>
    </row>
    <row r="297" spans="2:15" x14ac:dyDescent="0.2">
      <c r="B297" s="13"/>
      <c r="C297" s="13"/>
      <c r="D297" s="13"/>
      <c r="E297" s="13"/>
      <c r="F297" s="13"/>
      <c r="G297" s="13"/>
      <c r="H297" s="13"/>
      <c r="I297" s="13"/>
      <c r="J297" s="13"/>
      <c r="K297" s="13"/>
      <c r="L297" s="13"/>
      <c r="M297" s="13"/>
      <c r="N297" s="13"/>
      <c r="O297" s="13"/>
    </row>
    <row r="298" spans="2:15" x14ac:dyDescent="0.2">
      <c r="B298" s="13"/>
      <c r="C298" s="13"/>
      <c r="D298" s="13"/>
      <c r="E298" s="13"/>
      <c r="F298" s="13"/>
      <c r="G298" s="13"/>
      <c r="H298" s="13"/>
      <c r="I298" s="13"/>
      <c r="J298" s="13"/>
      <c r="K298" s="13"/>
      <c r="L298" s="13"/>
      <c r="M298" s="13"/>
      <c r="N298" s="13"/>
      <c r="O298" s="13"/>
    </row>
    <row r="299" spans="2:15" x14ac:dyDescent="0.2">
      <c r="B299" s="13"/>
      <c r="C299" s="13"/>
      <c r="D299" s="13"/>
      <c r="E299" s="13"/>
      <c r="F299" s="13"/>
      <c r="G299" s="13"/>
      <c r="H299" s="13"/>
      <c r="I299" s="13"/>
      <c r="J299" s="13"/>
      <c r="K299" s="13"/>
      <c r="L299" s="13"/>
      <c r="M299" s="13"/>
      <c r="N299" s="13"/>
      <c r="O299" s="13"/>
    </row>
    <row r="300" spans="2:15" x14ac:dyDescent="0.2">
      <c r="B300" s="13"/>
      <c r="C300" s="13"/>
      <c r="D300" s="13"/>
      <c r="E300" s="13"/>
      <c r="F300" s="13"/>
      <c r="G300" s="13"/>
      <c r="H300" s="13"/>
      <c r="I300" s="13"/>
      <c r="J300" s="13"/>
      <c r="K300" s="13"/>
      <c r="L300" s="13"/>
      <c r="M300" s="13"/>
      <c r="N300" s="13"/>
      <c r="O300" s="13"/>
    </row>
    <row r="301" spans="2:15" x14ac:dyDescent="0.2">
      <c r="B301" s="13"/>
      <c r="C301" s="13"/>
      <c r="D301" s="13"/>
      <c r="E301" s="13"/>
      <c r="F301" s="13"/>
      <c r="G301" s="13"/>
      <c r="H301" s="13"/>
      <c r="I301" s="13"/>
      <c r="J301" s="13"/>
      <c r="K301" s="13"/>
      <c r="L301" s="13"/>
      <c r="M301" s="13"/>
      <c r="N301" s="13"/>
      <c r="O301" s="13"/>
    </row>
    <row r="302" spans="2:15" x14ac:dyDescent="0.2">
      <c r="B302" s="13"/>
      <c r="C302" s="13"/>
      <c r="D302" s="13"/>
      <c r="E302" s="13"/>
      <c r="F302" s="13"/>
      <c r="G302" s="13"/>
      <c r="H302" s="13"/>
      <c r="I302" s="13"/>
      <c r="J302" s="13"/>
      <c r="K302" s="13"/>
      <c r="L302" s="13"/>
      <c r="M302" s="13"/>
      <c r="N302" s="13"/>
      <c r="O302" s="13"/>
    </row>
    <row r="303" spans="2:15" x14ac:dyDescent="0.2">
      <c r="B303" s="13"/>
      <c r="C303" s="13"/>
      <c r="D303" s="13"/>
      <c r="E303" s="13"/>
      <c r="F303" s="13"/>
      <c r="G303" s="13"/>
      <c r="H303" s="13"/>
      <c r="I303" s="13"/>
      <c r="J303" s="13"/>
      <c r="K303" s="13"/>
      <c r="L303" s="13"/>
      <c r="M303" s="13"/>
      <c r="N303" s="13"/>
      <c r="O303" s="13"/>
    </row>
    <row r="304" spans="2:15" x14ac:dyDescent="0.2">
      <c r="B304" s="13"/>
      <c r="C304" s="13"/>
      <c r="D304" s="13"/>
      <c r="E304" s="13"/>
      <c r="F304" s="13"/>
      <c r="G304" s="13"/>
      <c r="H304" s="13"/>
      <c r="I304" s="13"/>
      <c r="J304" s="13"/>
      <c r="K304" s="13"/>
      <c r="L304" s="13"/>
      <c r="M304" s="13"/>
      <c r="N304" s="13"/>
      <c r="O304" s="13"/>
    </row>
    <row r="305" spans="2:15" x14ac:dyDescent="0.2">
      <c r="B305" s="13"/>
      <c r="C305" s="13"/>
      <c r="D305" s="13"/>
      <c r="E305" s="13"/>
      <c r="F305" s="13"/>
      <c r="G305" s="13"/>
      <c r="H305" s="13"/>
      <c r="I305" s="13"/>
      <c r="J305" s="13"/>
      <c r="K305" s="13"/>
      <c r="L305" s="13"/>
      <c r="M305" s="13"/>
      <c r="N305" s="13"/>
      <c r="O305" s="13"/>
    </row>
    <row r="306" spans="2:15" x14ac:dyDescent="0.2">
      <c r="B306" s="13"/>
      <c r="C306" s="13"/>
      <c r="D306" s="13"/>
      <c r="E306" s="13"/>
      <c r="F306" s="13"/>
      <c r="G306" s="13"/>
      <c r="H306" s="13"/>
      <c r="I306" s="13"/>
      <c r="J306" s="13"/>
      <c r="K306" s="13"/>
      <c r="L306" s="13"/>
      <c r="M306" s="13"/>
      <c r="N306" s="13"/>
      <c r="O306" s="13"/>
    </row>
    <row r="307" spans="2:15" x14ac:dyDescent="0.2">
      <c r="B307" s="13"/>
      <c r="C307" s="13"/>
      <c r="D307" s="13"/>
      <c r="E307" s="13"/>
      <c r="F307" s="13"/>
      <c r="G307" s="13"/>
      <c r="H307" s="13"/>
      <c r="I307" s="13"/>
      <c r="J307" s="13"/>
      <c r="K307" s="13"/>
      <c r="L307" s="13"/>
      <c r="M307" s="13"/>
      <c r="N307" s="13"/>
      <c r="O307" s="13"/>
    </row>
    <row r="308" spans="2:15" x14ac:dyDescent="0.2">
      <c r="B308" s="13"/>
      <c r="C308" s="13"/>
      <c r="D308" s="13"/>
      <c r="E308" s="13"/>
      <c r="F308" s="13"/>
      <c r="G308" s="13"/>
      <c r="H308" s="13"/>
      <c r="I308" s="13"/>
      <c r="J308" s="13"/>
      <c r="K308" s="13"/>
      <c r="L308" s="13"/>
      <c r="M308" s="13"/>
      <c r="N308" s="13"/>
      <c r="O308" s="13"/>
    </row>
    <row r="309" spans="2:15" x14ac:dyDescent="0.2">
      <c r="B309" s="13"/>
      <c r="C309" s="13"/>
      <c r="D309" s="13"/>
      <c r="E309" s="13"/>
      <c r="F309" s="13"/>
      <c r="G309" s="13"/>
      <c r="H309" s="13"/>
      <c r="I309" s="13"/>
      <c r="J309" s="13"/>
      <c r="K309" s="13"/>
      <c r="L309" s="13"/>
      <c r="M309" s="13"/>
      <c r="N309" s="13"/>
      <c r="O309" s="13"/>
    </row>
    <row r="310" spans="2:15" x14ac:dyDescent="0.2">
      <c r="B310" s="13"/>
      <c r="C310" s="13"/>
      <c r="D310" s="13"/>
      <c r="E310" s="13"/>
      <c r="F310" s="13"/>
      <c r="G310" s="13"/>
      <c r="H310" s="13"/>
      <c r="I310" s="13"/>
      <c r="J310" s="13"/>
      <c r="K310" s="13"/>
      <c r="L310" s="13"/>
      <c r="M310" s="13"/>
      <c r="N310" s="13"/>
      <c r="O310" s="13"/>
    </row>
    <row r="311" spans="2:15" x14ac:dyDescent="0.2">
      <c r="B311" s="13"/>
      <c r="C311" s="13"/>
      <c r="D311" s="13"/>
      <c r="E311" s="13"/>
      <c r="F311" s="13"/>
      <c r="G311" s="13"/>
      <c r="H311" s="13"/>
      <c r="I311" s="13"/>
      <c r="J311" s="13"/>
      <c r="K311" s="13"/>
      <c r="L311" s="13"/>
      <c r="M311" s="13"/>
      <c r="N311" s="13"/>
      <c r="O311" s="13"/>
    </row>
    <row r="312" spans="2:15" x14ac:dyDescent="0.2">
      <c r="B312" s="13"/>
      <c r="C312" s="13"/>
      <c r="D312" s="13"/>
      <c r="E312" s="13"/>
      <c r="F312" s="13"/>
      <c r="G312" s="13"/>
      <c r="H312" s="13"/>
      <c r="I312" s="13"/>
      <c r="J312" s="13"/>
      <c r="K312" s="13"/>
      <c r="L312" s="13"/>
      <c r="M312" s="13"/>
      <c r="N312" s="13"/>
      <c r="O312" s="13"/>
    </row>
    <row r="313" spans="2:15" x14ac:dyDescent="0.2">
      <c r="B313" s="13"/>
      <c r="C313" s="13"/>
      <c r="D313" s="13"/>
      <c r="E313" s="13"/>
      <c r="F313" s="13"/>
      <c r="G313" s="13"/>
      <c r="H313" s="13"/>
      <c r="I313" s="13"/>
      <c r="J313" s="13"/>
      <c r="K313" s="13"/>
      <c r="L313" s="13"/>
      <c r="M313" s="13"/>
      <c r="N313" s="13"/>
      <c r="O313" s="13"/>
    </row>
    <row r="314" spans="2:15" x14ac:dyDescent="0.2">
      <c r="B314" s="13"/>
      <c r="C314" s="13"/>
      <c r="D314" s="13"/>
      <c r="E314" s="13"/>
      <c r="F314" s="13"/>
      <c r="G314" s="13"/>
      <c r="H314" s="13"/>
      <c r="I314" s="13"/>
      <c r="J314" s="13"/>
      <c r="K314" s="13"/>
      <c r="L314" s="13"/>
      <c r="M314" s="13"/>
      <c r="N314" s="13"/>
      <c r="O314" s="13"/>
    </row>
    <row r="315" spans="2:15" x14ac:dyDescent="0.2">
      <c r="B315" s="13"/>
      <c r="C315" s="13"/>
      <c r="D315" s="13"/>
      <c r="E315" s="13"/>
      <c r="F315" s="13"/>
      <c r="G315" s="13"/>
      <c r="H315" s="13"/>
      <c r="I315" s="13"/>
      <c r="J315" s="13"/>
      <c r="K315" s="13"/>
      <c r="L315" s="13"/>
      <c r="M315" s="13"/>
      <c r="N315" s="13"/>
      <c r="O315" s="13"/>
    </row>
    <row r="316" spans="2:15" x14ac:dyDescent="0.2">
      <c r="B316" s="13"/>
      <c r="C316" s="13"/>
      <c r="D316" s="13"/>
      <c r="E316" s="13"/>
      <c r="F316" s="13"/>
      <c r="G316" s="13"/>
      <c r="H316" s="13"/>
      <c r="I316" s="13"/>
      <c r="J316" s="13"/>
      <c r="K316" s="13"/>
      <c r="L316" s="13"/>
      <c r="M316" s="13"/>
      <c r="N316" s="13"/>
      <c r="O316" s="13"/>
    </row>
    <row r="317" spans="2:15" x14ac:dyDescent="0.2">
      <c r="B317" s="13"/>
      <c r="C317" s="13"/>
      <c r="D317" s="13"/>
      <c r="E317" s="13"/>
      <c r="F317" s="13"/>
      <c r="G317" s="13"/>
      <c r="H317" s="13"/>
      <c r="I317" s="13"/>
      <c r="J317" s="13"/>
      <c r="K317" s="13"/>
      <c r="L317" s="13"/>
      <c r="M317" s="13"/>
      <c r="N317" s="13"/>
      <c r="O317" s="13"/>
    </row>
    <row r="318" spans="2:15" x14ac:dyDescent="0.2">
      <c r="B318" s="13"/>
      <c r="C318" s="13"/>
      <c r="D318" s="13"/>
      <c r="E318" s="13"/>
      <c r="F318" s="13"/>
      <c r="G318" s="13"/>
      <c r="H318" s="13"/>
      <c r="I318" s="13"/>
      <c r="J318" s="13"/>
      <c r="K318" s="13"/>
      <c r="L318" s="13"/>
      <c r="M318" s="13"/>
      <c r="N318" s="13"/>
      <c r="O318" s="13"/>
    </row>
    <row r="319" spans="2:15" x14ac:dyDescent="0.2">
      <c r="B319" s="13"/>
      <c r="C319" s="13"/>
      <c r="D319" s="13"/>
      <c r="E319" s="13"/>
      <c r="F319" s="13"/>
      <c r="G319" s="13"/>
      <c r="H319" s="13"/>
      <c r="I319" s="13"/>
      <c r="J319" s="13"/>
      <c r="K319" s="13"/>
      <c r="L319" s="13"/>
      <c r="M319" s="13"/>
      <c r="N319" s="13"/>
      <c r="O319" s="13"/>
    </row>
    <row r="320" spans="2:15" x14ac:dyDescent="0.2">
      <c r="B320" s="13"/>
      <c r="C320" s="13"/>
      <c r="D320" s="13"/>
      <c r="E320" s="13"/>
      <c r="F320" s="13"/>
      <c r="G320" s="13"/>
      <c r="H320" s="13"/>
      <c r="I320" s="13"/>
      <c r="J320" s="13"/>
      <c r="K320" s="13"/>
      <c r="L320" s="13"/>
      <c r="M320" s="13"/>
      <c r="N320" s="13"/>
      <c r="O320" s="13"/>
    </row>
    <row r="321" spans="2:15" x14ac:dyDescent="0.2">
      <c r="B321" s="13"/>
      <c r="C321" s="13"/>
      <c r="D321" s="13"/>
      <c r="E321" s="13"/>
      <c r="F321" s="13"/>
      <c r="G321" s="13"/>
      <c r="H321" s="13"/>
      <c r="I321" s="13"/>
      <c r="J321" s="13"/>
      <c r="K321" s="13"/>
      <c r="L321" s="13"/>
      <c r="M321" s="13"/>
      <c r="N321" s="13"/>
      <c r="O321" s="13"/>
    </row>
    <row r="322" spans="2:15" x14ac:dyDescent="0.2">
      <c r="B322" s="13"/>
      <c r="C322" s="13"/>
      <c r="D322" s="13"/>
      <c r="E322" s="13"/>
      <c r="F322" s="13"/>
      <c r="G322" s="13"/>
      <c r="H322" s="13"/>
      <c r="I322" s="13"/>
      <c r="J322" s="13"/>
      <c r="K322" s="13"/>
      <c r="L322" s="13"/>
      <c r="M322" s="13"/>
      <c r="N322" s="13"/>
      <c r="O322" s="13"/>
    </row>
    <row r="323" spans="2:15" x14ac:dyDescent="0.2">
      <c r="B323" s="13"/>
      <c r="C323" s="13"/>
      <c r="D323" s="13"/>
      <c r="E323" s="13"/>
      <c r="F323" s="13"/>
      <c r="G323" s="13"/>
      <c r="H323" s="13"/>
      <c r="I323" s="13"/>
      <c r="J323" s="13"/>
      <c r="K323" s="13"/>
      <c r="L323" s="13"/>
      <c r="M323" s="13"/>
      <c r="N323" s="13"/>
      <c r="O323" s="13"/>
    </row>
    <row r="324" spans="2:15" x14ac:dyDescent="0.2">
      <c r="B324" s="13"/>
      <c r="C324" s="13"/>
      <c r="D324" s="13"/>
      <c r="E324" s="13"/>
      <c r="F324" s="13"/>
      <c r="G324" s="13"/>
      <c r="H324" s="13"/>
      <c r="I324" s="13"/>
      <c r="J324" s="13"/>
      <c r="K324" s="13"/>
      <c r="L324" s="13"/>
      <c r="M324" s="13"/>
      <c r="N324" s="13"/>
      <c r="O324" s="13"/>
    </row>
    <row r="325" spans="2:15" x14ac:dyDescent="0.2">
      <c r="B325" s="13"/>
      <c r="C325" s="13"/>
      <c r="D325" s="13"/>
      <c r="E325" s="13"/>
      <c r="F325" s="13"/>
      <c r="G325" s="13"/>
      <c r="H325" s="13"/>
      <c r="I325" s="13"/>
      <c r="J325" s="13"/>
      <c r="K325" s="13"/>
      <c r="L325" s="13"/>
      <c r="M325" s="13"/>
      <c r="N325" s="13"/>
      <c r="O325" s="13"/>
    </row>
    <row r="326" spans="2:15" x14ac:dyDescent="0.2">
      <c r="B326" s="13"/>
      <c r="C326" s="13"/>
      <c r="D326" s="13"/>
      <c r="E326" s="13"/>
      <c r="F326" s="13"/>
      <c r="G326" s="13"/>
      <c r="H326" s="13"/>
      <c r="I326" s="13"/>
      <c r="J326" s="13"/>
      <c r="K326" s="13"/>
      <c r="L326" s="13"/>
      <c r="M326" s="13"/>
      <c r="N326" s="13"/>
      <c r="O326" s="13"/>
    </row>
    <row r="327" spans="2:15" x14ac:dyDescent="0.2">
      <c r="B327" s="13"/>
      <c r="C327" s="13"/>
      <c r="D327" s="13"/>
      <c r="E327" s="13"/>
      <c r="F327" s="13"/>
      <c r="G327" s="13"/>
      <c r="H327" s="13"/>
      <c r="I327" s="13"/>
      <c r="J327" s="13"/>
      <c r="K327" s="13"/>
      <c r="L327" s="13"/>
      <c r="M327" s="13"/>
      <c r="N327" s="13"/>
      <c r="O327" s="13"/>
    </row>
    <row r="328" spans="2:15" x14ac:dyDescent="0.2">
      <c r="B328" s="13"/>
      <c r="C328" s="13"/>
      <c r="D328" s="13"/>
      <c r="E328" s="13"/>
      <c r="F328" s="13"/>
      <c r="G328" s="13"/>
      <c r="H328" s="13"/>
      <c r="I328" s="13"/>
      <c r="J328" s="13"/>
      <c r="K328" s="13"/>
      <c r="L328" s="13"/>
      <c r="M328" s="13"/>
      <c r="N328" s="13"/>
      <c r="O328" s="13"/>
    </row>
    <row r="329" spans="2:15" x14ac:dyDescent="0.2">
      <c r="B329" s="13"/>
      <c r="C329" s="13"/>
      <c r="D329" s="13"/>
      <c r="E329" s="13"/>
      <c r="F329" s="13"/>
      <c r="G329" s="13"/>
      <c r="H329" s="13"/>
      <c r="I329" s="13"/>
      <c r="J329" s="13"/>
      <c r="K329" s="13"/>
      <c r="L329" s="13"/>
      <c r="M329" s="13"/>
      <c r="N329" s="13"/>
      <c r="O329" s="13"/>
    </row>
    <row r="330" spans="2:15" x14ac:dyDescent="0.2">
      <c r="B330" s="13"/>
      <c r="C330" s="13"/>
      <c r="D330" s="13"/>
      <c r="E330" s="13"/>
      <c r="F330" s="13"/>
      <c r="G330" s="13"/>
      <c r="H330" s="13"/>
      <c r="I330" s="13"/>
      <c r="J330" s="13"/>
      <c r="K330" s="13"/>
      <c r="L330" s="13"/>
      <c r="M330" s="13"/>
      <c r="N330" s="13"/>
      <c r="O330" s="13"/>
    </row>
    <row r="331" spans="2:15" x14ac:dyDescent="0.2">
      <c r="B331" s="13"/>
      <c r="C331" s="13"/>
      <c r="D331" s="13"/>
      <c r="E331" s="13"/>
      <c r="F331" s="13"/>
      <c r="G331" s="13"/>
      <c r="H331" s="13"/>
      <c r="I331" s="13"/>
      <c r="J331" s="13"/>
      <c r="K331" s="13"/>
      <c r="L331" s="13"/>
      <c r="M331" s="13"/>
      <c r="N331" s="13"/>
      <c r="O331" s="13"/>
    </row>
    <row r="332" spans="2:15" x14ac:dyDescent="0.2">
      <c r="B332" s="13"/>
      <c r="C332" s="13"/>
      <c r="D332" s="13"/>
      <c r="E332" s="13"/>
      <c r="F332" s="13"/>
      <c r="G332" s="13"/>
      <c r="H332" s="13"/>
      <c r="I332" s="13"/>
      <c r="J332" s="13"/>
      <c r="K332" s="13"/>
      <c r="L332" s="13"/>
      <c r="M332" s="13"/>
      <c r="N332" s="13"/>
      <c r="O332" s="13"/>
    </row>
    <row r="333" spans="2:15" x14ac:dyDescent="0.2">
      <c r="B333" s="13"/>
      <c r="C333" s="13"/>
      <c r="D333" s="13"/>
      <c r="E333" s="13"/>
      <c r="F333" s="13"/>
      <c r="G333" s="13"/>
      <c r="H333" s="13"/>
      <c r="I333" s="13"/>
      <c r="J333" s="13"/>
      <c r="K333" s="13"/>
      <c r="L333" s="13"/>
      <c r="M333" s="13"/>
      <c r="N333" s="13"/>
      <c r="O333" s="13"/>
    </row>
    <row r="334" spans="2:15" x14ac:dyDescent="0.2">
      <c r="B334" s="13"/>
      <c r="C334" s="13"/>
      <c r="D334" s="13"/>
      <c r="E334" s="13"/>
      <c r="F334" s="13"/>
      <c r="G334" s="13"/>
      <c r="H334" s="13"/>
      <c r="I334" s="13"/>
      <c r="J334" s="13"/>
      <c r="K334" s="13"/>
      <c r="L334" s="13"/>
      <c r="M334" s="13"/>
      <c r="N334" s="13"/>
      <c r="O334" s="13"/>
    </row>
    <row r="335" spans="2:15" x14ac:dyDescent="0.2">
      <c r="B335" s="13"/>
      <c r="C335" s="13"/>
      <c r="D335" s="13"/>
      <c r="E335" s="13"/>
      <c r="F335" s="13"/>
      <c r="G335" s="13"/>
      <c r="H335" s="13"/>
      <c r="I335" s="13"/>
      <c r="J335" s="13"/>
      <c r="K335" s="13"/>
      <c r="L335" s="13"/>
      <c r="M335" s="13"/>
      <c r="N335" s="13"/>
      <c r="O335" s="13"/>
    </row>
    <row r="336" spans="2:15" x14ac:dyDescent="0.2">
      <c r="B336" s="13"/>
      <c r="C336" s="13"/>
      <c r="D336" s="13"/>
      <c r="E336" s="13"/>
      <c r="F336" s="13"/>
      <c r="G336" s="13"/>
      <c r="H336" s="13"/>
      <c r="I336" s="13"/>
      <c r="J336" s="13"/>
      <c r="K336" s="13"/>
      <c r="L336" s="13"/>
      <c r="M336" s="13"/>
      <c r="N336" s="13"/>
      <c r="O336" s="13"/>
    </row>
    <row r="337" spans="2:15" x14ac:dyDescent="0.2">
      <c r="B337" s="13"/>
      <c r="C337" s="13"/>
      <c r="D337" s="13"/>
      <c r="E337" s="13"/>
      <c r="F337" s="13"/>
      <c r="G337" s="13"/>
      <c r="H337" s="13"/>
      <c r="I337" s="13"/>
      <c r="J337" s="13"/>
      <c r="K337" s="13"/>
      <c r="L337" s="13"/>
      <c r="M337" s="13"/>
      <c r="N337" s="13"/>
      <c r="O337" s="13"/>
    </row>
    <row r="338" spans="2:15" x14ac:dyDescent="0.2">
      <c r="B338" s="13"/>
      <c r="C338" s="13"/>
      <c r="D338" s="13"/>
      <c r="E338" s="13"/>
      <c r="F338" s="13"/>
      <c r="G338" s="13"/>
      <c r="H338" s="13"/>
      <c r="I338" s="13"/>
      <c r="J338" s="13"/>
      <c r="K338" s="13"/>
      <c r="L338" s="13"/>
      <c r="M338" s="13"/>
      <c r="N338" s="13"/>
      <c r="O338" s="13"/>
    </row>
    <row r="339" spans="2:15" x14ac:dyDescent="0.2">
      <c r="B339" s="13"/>
      <c r="C339" s="13"/>
      <c r="D339" s="13"/>
      <c r="E339" s="13"/>
      <c r="F339" s="13"/>
      <c r="G339" s="13"/>
      <c r="H339" s="13"/>
      <c r="I339" s="13"/>
      <c r="J339" s="13"/>
      <c r="K339" s="13"/>
      <c r="L339" s="13"/>
      <c r="M339" s="13"/>
      <c r="N339" s="13"/>
      <c r="O339" s="13"/>
    </row>
    <row r="340" spans="2:15" x14ac:dyDescent="0.2">
      <c r="B340" s="13"/>
      <c r="C340" s="13"/>
      <c r="D340" s="13"/>
      <c r="E340" s="13"/>
      <c r="F340" s="13"/>
      <c r="G340" s="13"/>
      <c r="H340" s="13"/>
      <c r="I340" s="13"/>
      <c r="J340" s="13"/>
      <c r="K340" s="13"/>
      <c r="L340" s="13"/>
      <c r="M340" s="13"/>
      <c r="N340" s="13"/>
      <c r="O340" s="13"/>
    </row>
    <row r="341" spans="2:15" x14ac:dyDescent="0.2">
      <c r="B341" s="13"/>
      <c r="C341" s="13"/>
      <c r="D341" s="13"/>
      <c r="E341" s="13"/>
      <c r="F341" s="13"/>
      <c r="G341" s="13"/>
      <c r="H341" s="13"/>
      <c r="I341" s="13"/>
      <c r="J341" s="13"/>
      <c r="K341" s="13"/>
      <c r="L341" s="13"/>
      <c r="M341" s="13"/>
      <c r="N341" s="13"/>
      <c r="O341" s="13"/>
    </row>
    <row r="342" spans="2:15" x14ac:dyDescent="0.2">
      <c r="B342" s="13"/>
      <c r="C342" s="13"/>
      <c r="D342" s="13"/>
      <c r="E342" s="13"/>
      <c r="F342" s="13"/>
      <c r="G342" s="13"/>
      <c r="H342" s="13"/>
      <c r="I342" s="13"/>
      <c r="J342" s="13"/>
      <c r="K342" s="13"/>
      <c r="L342" s="13"/>
      <c r="M342" s="13"/>
      <c r="N342" s="13"/>
      <c r="O342" s="13"/>
    </row>
    <row r="343" spans="2:15" x14ac:dyDescent="0.2">
      <c r="B343" s="13"/>
      <c r="C343" s="13"/>
      <c r="D343" s="13"/>
      <c r="E343" s="13"/>
      <c r="F343" s="13"/>
      <c r="G343" s="13"/>
      <c r="H343" s="13"/>
      <c r="I343" s="13"/>
      <c r="J343" s="13"/>
      <c r="K343" s="13"/>
      <c r="L343" s="13"/>
      <c r="M343" s="13"/>
      <c r="N343" s="13"/>
      <c r="O343" s="13"/>
    </row>
    <row r="344" spans="2:15" x14ac:dyDescent="0.2">
      <c r="B344" s="13"/>
      <c r="C344" s="13"/>
      <c r="D344" s="13"/>
      <c r="E344" s="13"/>
      <c r="F344" s="13"/>
      <c r="G344" s="13"/>
      <c r="H344" s="13"/>
      <c r="I344" s="13"/>
      <c r="J344" s="13"/>
      <c r="K344" s="13"/>
      <c r="L344" s="13"/>
      <c r="M344" s="13"/>
      <c r="N344" s="13"/>
      <c r="O344" s="13"/>
    </row>
    <row r="345" spans="2:15" x14ac:dyDescent="0.2">
      <c r="B345" s="13"/>
      <c r="C345" s="13"/>
      <c r="D345" s="13"/>
      <c r="E345" s="13"/>
      <c r="F345" s="13"/>
      <c r="G345" s="13"/>
      <c r="H345" s="13"/>
      <c r="I345" s="13"/>
      <c r="J345" s="13"/>
      <c r="K345" s="13"/>
      <c r="L345" s="13"/>
      <c r="M345" s="13"/>
      <c r="N345" s="13"/>
      <c r="O345" s="13"/>
    </row>
    <row r="346" spans="2:15" x14ac:dyDescent="0.2">
      <c r="B346" s="13"/>
      <c r="C346" s="13"/>
      <c r="D346" s="13"/>
      <c r="E346" s="13"/>
      <c r="F346" s="13"/>
      <c r="G346" s="13"/>
      <c r="H346" s="13"/>
      <c r="I346" s="13"/>
      <c r="J346" s="13"/>
      <c r="K346" s="13"/>
      <c r="L346" s="13"/>
      <c r="M346" s="13"/>
      <c r="N346" s="13"/>
      <c r="O346" s="13"/>
    </row>
    <row r="347" spans="2:15" x14ac:dyDescent="0.2">
      <c r="B347" s="13"/>
      <c r="C347" s="13"/>
      <c r="D347" s="13"/>
      <c r="E347" s="13"/>
      <c r="F347" s="13"/>
      <c r="G347" s="13"/>
      <c r="H347" s="13"/>
      <c r="I347" s="13"/>
      <c r="J347" s="13"/>
      <c r="K347" s="13"/>
      <c r="L347" s="13"/>
      <c r="M347" s="13"/>
      <c r="N347" s="13"/>
      <c r="O347" s="13"/>
    </row>
    <row r="348" spans="2:15" x14ac:dyDescent="0.2">
      <c r="B348" s="13"/>
      <c r="C348" s="13"/>
      <c r="D348" s="13"/>
      <c r="E348" s="13"/>
      <c r="F348" s="13"/>
      <c r="G348" s="13"/>
      <c r="H348" s="13"/>
      <c r="I348" s="13"/>
      <c r="J348" s="13"/>
      <c r="K348" s="13"/>
      <c r="L348" s="13"/>
      <c r="M348" s="13"/>
      <c r="N348" s="13"/>
      <c r="O348" s="13"/>
    </row>
    <row r="349" spans="2:15" x14ac:dyDescent="0.2">
      <c r="B349" s="13"/>
      <c r="C349" s="13"/>
      <c r="D349" s="13"/>
      <c r="E349" s="13"/>
      <c r="F349" s="13"/>
      <c r="G349" s="13"/>
      <c r="H349" s="13"/>
      <c r="I349" s="13"/>
      <c r="J349" s="13"/>
      <c r="K349" s="13"/>
      <c r="L349" s="13"/>
      <c r="M349" s="13"/>
      <c r="N349" s="13"/>
      <c r="O349" s="13"/>
    </row>
    <row r="350" spans="2:15" x14ac:dyDescent="0.2">
      <c r="B350" s="13"/>
      <c r="C350" s="13"/>
      <c r="D350" s="13"/>
      <c r="E350" s="13"/>
      <c r="F350" s="13"/>
      <c r="G350" s="13"/>
      <c r="H350" s="13"/>
      <c r="I350" s="13"/>
      <c r="J350" s="13"/>
      <c r="K350" s="13"/>
      <c r="L350" s="13"/>
      <c r="M350" s="13"/>
      <c r="N350" s="13"/>
      <c r="O350" s="13"/>
    </row>
    <row r="351" spans="2:15" x14ac:dyDescent="0.2">
      <c r="B351" s="13"/>
      <c r="C351" s="13"/>
      <c r="D351" s="13"/>
      <c r="E351" s="13"/>
      <c r="F351" s="13"/>
      <c r="G351" s="13"/>
      <c r="H351" s="13"/>
      <c r="I351" s="13"/>
      <c r="J351" s="13"/>
      <c r="K351" s="13"/>
      <c r="L351" s="13"/>
      <c r="M351" s="13"/>
      <c r="N351" s="13"/>
      <c r="O351" s="13"/>
    </row>
    <row r="352" spans="2:15" x14ac:dyDescent="0.2">
      <c r="B352" s="13"/>
      <c r="C352" s="13"/>
      <c r="D352" s="13"/>
      <c r="E352" s="13"/>
      <c r="F352" s="13"/>
      <c r="G352" s="13"/>
      <c r="H352" s="13"/>
      <c r="I352" s="13"/>
      <c r="J352" s="13"/>
      <c r="K352" s="13"/>
      <c r="L352" s="13"/>
      <c r="M352" s="13"/>
      <c r="N352" s="13"/>
      <c r="O352" s="13"/>
    </row>
    <row r="353" spans="2:15" x14ac:dyDescent="0.2">
      <c r="B353" s="13"/>
      <c r="C353" s="13"/>
      <c r="D353" s="13"/>
      <c r="E353" s="13"/>
      <c r="F353" s="13"/>
      <c r="G353" s="13"/>
      <c r="H353" s="13"/>
      <c r="I353" s="13"/>
      <c r="J353" s="13"/>
      <c r="K353" s="13"/>
      <c r="L353" s="13"/>
      <c r="M353" s="13"/>
      <c r="N353" s="13"/>
      <c r="O353" s="13"/>
    </row>
    <row r="354" spans="2:15" x14ac:dyDescent="0.2">
      <c r="B354" s="13"/>
      <c r="C354" s="13"/>
      <c r="D354" s="13"/>
      <c r="E354" s="13"/>
      <c r="F354" s="13"/>
      <c r="G354" s="13"/>
      <c r="H354" s="13"/>
      <c r="I354" s="13"/>
      <c r="J354" s="13"/>
      <c r="K354" s="13"/>
      <c r="L354" s="13"/>
      <c r="M354" s="13"/>
      <c r="N354" s="13"/>
      <c r="O354" s="13"/>
    </row>
    <row r="355" spans="2:15" x14ac:dyDescent="0.2">
      <c r="B355" s="13"/>
      <c r="C355" s="13"/>
      <c r="D355" s="13"/>
      <c r="E355" s="13"/>
      <c r="F355" s="13"/>
      <c r="G355" s="13"/>
      <c r="H355" s="13"/>
      <c r="I355" s="13"/>
      <c r="J355" s="13"/>
      <c r="K355" s="13"/>
      <c r="L355" s="13"/>
      <c r="M355" s="13"/>
      <c r="N355" s="13"/>
      <c r="O355" s="13"/>
    </row>
    <row r="356" spans="2:15" x14ac:dyDescent="0.2">
      <c r="B356" s="13"/>
      <c r="C356" s="13"/>
      <c r="D356" s="13"/>
      <c r="E356" s="13"/>
      <c r="F356" s="13"/>
      <c r="G356" s="13"/>
      <c r="H356" s="13"/>
      <c r="I356" s="13"/>
      <c r="J356" s="13"/>
      <c r="K356" s="13"/>
      <c r="L356" s="13"/>
      <c r="M356" s="13"/>
      <c r="N356" s="13"/>
      <c r="O356" s="13"/>
    </row>
    <row r="357" spans="2:15" x14ac:dyDescent="0.2">
      <c r="B357" s="13"/>
      <c r="C357" s="13"/>
      <c r="D357" s="13"/>
      <c r="E357" s="13"/>
      <c r="F357" s="13"/>
      <c r="G357" s="13"/>
      <c r="H357" s="13"/>
      <c r="I357" s="13"/>
      <c r="J357" s="13"/>
      <c r="K357" s="13"/>
      <c r="L357" s="13"/>
      <c r="M357" s="13"/>
      <c r="N357" s="13"/>
      <c r="O357" s="13"/>
    </row>
    <row r="358" spans="2:15" x14ac:dyDescent="0.2">
      <c r="B358" s="13"/>
      <c r="C358" s="13"/>
      <c r="D358" s="13"/>
      <c r="E358" s="13"/>
      <c r="F358" s="13"/>
      <c r="G358" s="13"/>
      <c r="H358" s="13"/>
      <c r="I358" s="13"/>
      <c r="J358" s="13"/>
      <c r="K358" s="13"/>
      <c r="L358" s="13"/>
      <c r="M358" s="13"/>
      <c r="N358" s="13"/>
      <c r="O358" s="13"/>
    </row>
    <row r="359" spans="2:15" x14ac:dyDescent="0.2">
      <c r="B359" s="13"/>
      <c r="C359" s="13"/>
      <c r="D359" s="13"/>
      <c r="E359" s="13"/>
      <c r="F359" s="13"/>
      <c r="G359" s="13"/>
      <c r="H359" s="13"/>
      <c r="I359" s="13"/>
      <c r="J359" s="13"/>
      <c r="K359" s="13"/>
      <c r="L359" s="13"/>
      <c r="M359" s="13"/>
      <c r="N359" s="13"/>
      <c r="O359" s="13"/>
    </row>
    <row r="360" spans="2:15" x14ac:dyDescent="0.2">
      <c r="B360" s="13"/>
      <c r="C360" s="13"/>
      <c r="D360" s="13"/>
      <c r="E360" s="13"/>
      <c r="F360" s="13"/>
      <c r="G360" s="13"/>
      <c r="H360" s="13"/>
      <c r="I360" s="13"/>
      <c r="J360" s="13"/>
      <c r="K360" s="13"/>
      <c r="L360" s="13"/>
      <c r="M360" s="13"/>
      <c r="N360" s="13"/>
      <c r="O360" s="13"/>
    </row>
    <row r="361" spans="2:15" x14ac:dyDescent="0.2">
      <c r="B361" s="13"/>
      <c r="C361" s="13"/>
      <c r="D361" s="13"/>
      <c r="E361" s="13"/>
      <c r="F361" s="13"/>
      <c r="G361" s="13"/>
      <c r="H361" s="13"/>
      <c r="I361" s="13"/>
      <c r="J361" s="13"/>
      <c r="K361" s="13"/>
      <c r="L361" s="13"/>
      <c r="M361" s="13"/>
      <c r="N361" s="13"/>
      <c r="O361" s="13"/>
    </row>
    <row r="362" spans="2:15" x14ac:dyDescent="0.2">
      <c r="B362" s="13"/>
      <c r="C362" s="13"/>
      <c r="D362" s="13"/>
      <c r="E362" s="13"/>
      <c r="F362" s="13"/>
      <c r="G362" s="13"/>
      <c r="H362" s="13"/>
      <c r="I362" s="13"/>
      <c r="J362" s="13"/>
      <c r="K362" s="13"/>
      <c r="L362" s="13"/>
      <c r="M362" s="13"/>
      <c r="N362" s="13"/>
      <c r="O362" s="13"/>
    </row>
    <row r="363" spans="2:15" x14ac:dyDescent="0.2">
      <c r="B363" s="13"/>
      <c r="C363" s="13"/>
      <c r="D363" s="13"/>
      <c r="E363" s="13"/>
      <c r="F363" s="13"/>
      <c r="G363" s="13"/>
      <c r="H363" s="13"/>
      <c r="I363" s="13"/>
      <c r="J363" s="13"/>
      <c r="K363" s="13"/>
      <c r="L363" s="13"/>
      <c r="M363" s="13"/>
      <c r="N363" s="13"/>
      <c r="O363" s="13"/>
    </row>
    <row r="364" spans="2:15" x14ac:dyDescent="0.2">
      <c r="B364" s="13"/>
      <c r="C364" s="13"/>
      <c r="D364" s="13"/>
      <c r="E364" s="13"/>
      <c r="F364" s="13"/>
      <c r="G364" s="13"/>
      <c r="H364" s="13"/>
      <c r="I364" s="13"/>
      <c r="J364" s="13"/>
      <c r="K364" s="13"/>
      <c r="L364" s="13"/>
      <c r="M364" s="13"/>
      <c r="N364" s="13"/>
      <c r="O364" s="13"/>
    </row>
    <row r="365" spans="2:15" x14ac:dyDescent="0.2">
      <c r="B365" s="13"/>
      <c r="C365" s="13"/>
      <c r="D365" s="13"/>
      <c r="E365" s="13"/>
      <c r="F365" s="13"/>
      <c r="G365" s="13"/>
      <c r="H365" s="13"/>
      <c r="I365" s="13"/>
      <c r="J365" s="13"/>
      <c r="K365" s="13"/>
      <c r="L365" s="13"/>
      <c r="M365" s="13"/>
      <c r="N365" s="13"/>
      <c r="O365" s="13"/>
    </row>
    <row r="366" spans="2:15" x14ac:dyDescent="0.2">
      <c r="B366" s="13"/>
      <c r="C366" s="13"/>
      <c r="D366" s="13"/>
      <c r="E366" s="13"/>
      <c r="F366" s="13"/>
      <c r="G366" s="13"/>
      <c r="H366" s="13"/>
      <c r="I366" s="13"/>
      <c r="J366" s="13"/>
      <c r="K366" s="13"/>
      <c r="L366" s="13"/>
      <c r="M366" s="13"/>
      <c r="N366" s="13"/>
      <c r="O366" s="13"/>
    </row>
    <row r="367" spans="2:15" x14ac:dyDescent="0.2">
      <c r="B367" s="13"/>
      <c r="C367" s="13"/>
      <c r="D367" s="13"/>
      <c r="E367" s="13"/>
      <c r="F367" s="13"/>
      <c r="G367" s="13"/>
      <c r="H367" s="13"/>
      <c r="I367" s="13"/>
      <c r="J367" s="13"/>
      <c r="K367" s="13"/>
      <c r="L367" s="13"/>
      <c r="M367" s="13"/>
      <c r="N367" s="13"/>
      <c r="O367" s="13"/>
    </row>
    <row r="368" spans="2:15" x14ac:dyDescent="0.2">
      <c r="B368" s="13"/>
      <c r="C368" s="13"/>
      <c r="D368" s="13"/>
      <c r="E368" s="13"/>
      <c r="F368" s="13"/>
      <c r="G368" s="13"/>
      <c r="H368" s="13"/>
      <c r="I368" s="13"/>
      <c r="J368" s="13"/>
      <c r="K368" s="13"/>
      <c r="L368" s="13"/>
      <c r="M368" s="13"/>
      <c r="N368" s="13"/>
      <c r="O368" s="13"/>
    </row>
    <row r="369" spans="2:15" x14ac:dyDescent="0.2">
      <c r="B369" s="13"/>
      <c r="C369" s="13"/>
      <c r="D369" s="13"/>
      <c r="E369" s="13"/>
      <c r="F369" s="13"/>
      <c r="G369" s="13"/>
      <c r="H369" s="13"/>
      <c r="I369" s="13"/>
      <c r="J369" s="13"/>
      <c r="K369" s="13"/>
      <c r="L369" s="13"/>
      <c r="M369" s="13"/>
      <c r="N369" s="13"/>
      <c r="O369" s="13"/>
    </row>
    <row r="370" spans="2:15" x14ac:dyDescent="0.2">
      <c r="B370" s="13"/>
      <c r="C370" s="13"/>
      <c r="D370" s="13"/>
      <c r="E370" s="13"/>
      <c r="F370" s="13"/>
      <c r="G370" s="13"/>
      <c r="H370" s="13"/>
      <c r="I370" s="13"/>
      <c r="J370" s="13"/>
      <c r="K370" s="13"/>
      <c r="L370" s="13"/>
      <c r="M370" s="13"/>
      <c r="N370" s="13"/>
      <c r="O370" s="13"/>
    </row>
    <row r="371" spans="2:15" x14ac:dyDescent="0.2">
      <c r="B371" s="13"/>
      <c r="C371" s="13"/>
      <c r="D371" s="13"/>
      <c r="E371" s="13"/>
      <c r="F371" s="13"/>
      <c r="G371" s="13"/>
      <c r="H371" s="13"/>
      <c r="I371" s="13"/>
      <c r="J371" s="13"/>
      <c r="K371" s="13"/>
      <c r="L371" s="13"/>
      <c r="M371" s="13"/>
      <c r="N371" s="13"/>
      <c r="O371" s="13"/>
    </row>
    <row r="372" spans="2:15" x14ac:dyDescent="0.2">
      <c r="B372" s="13"/>
      <c r="C372" s="13"/>
      <c r="D372" s="13"/>
      <c r="E372" s="13"/>
      <c r="F372" s="13"/>
      <c r="G372" s="13"/>
      <c r="H372" s="13"/>
      <c r="I372" s="13"/>
      <c r="J372" s="13"/>
      <c r="K372" s="13"/>
      <c r="L372" s="13"/>
      <c r="M372" s="13"/>
      <c r="N372" s="13"/>
      <c r="O372" s="13"/>
    </row>
    <row r="373" spans="2:15" x14ac:dyDescent="0.2">
      <c r="B373" s="13"/>
      <c r="C373" s="13"/>
      <c r="D373" s="13"/>
      <c r="E373" s="13"/>
      <c r="F373" s="13"/>
      <c r="G373" s="13"/>
      <c r="H373" s="13"/>
      <c r="I373" s="13"/>
      <c r="J373" s="13"/>
      <c r="K373" s="13"/>
      <c r="L373" s="13"/>
      <c r="M373" s="13"/>
      <c r="N373" s="13"/>
      <c r="O373" s="13"/>
    </row>
    <row r="374" spans="2:15" x14ac:dyDescent="0.2">
      <c r="B374" s="13"/>
      <c r="C374" s="13"/>
      <c r="D374" s="13"/>
      <c r="E374" s="13"/>
      <c r="F374" s="13"/>
      <c r="G374" s="13"/>
      <c r="H374" s="13"/>
      <c r="I374" s="13"/>
      <c r="J374" s="13"/>
      <c r="K374" s="13"/>
      <c r="L374" s="13"/>
      <c r="M374" s="13"/>
      <c r="N374" s="13"/>
      <c r="O374" s="13"/>
    </row>
    <row r="375" spans="2:15" x14ac:dyDescent="0.2">
      <c r="B375" s="13"/>
      <c r="C375" s="13"/>
      <c r="D375" s="13"/>
      <c r="E375" s="13"/>
      <c r="F375" s="13"/>
      <c r="G375" s="13"/>
      <c r="H375" s="13"/>
      <c r="I375" s="13"/>
      <c r="J375" s="13"/>
      <c r="K375" s="13"/>
      <c r="L375" s="13"/>
      <c r="M375" s="13"/>
      <c r="N375" s="13"/>
      <c r="O375" s="13"/>
    </row>
    <row r="376" spans="2:15" x14ac:dyDescent="0.2">
      <c r="B376" s="13"/>
      <c r="C376" s="13"/>
      <c r="D376" s="13"/>
      <c r="E376" s="13"/>
      <c r="F376" s="13"/>
      <c r="G376" s="13"/>
      <c r="H376" s="13"/>
      <c r="I376" s="13"/>
      <c r="J376" s="13"/>
      <c r="K376" s="13"/>
      <c r="L376" s="13"/>
      <c r="M376" s="13"/>
      <c r="N376" s="13"/>
      <c r="O376" s="13"/>
    </row>
    <row r="377" spans="2:15" x14ac:dyDescent="0.2">
      <c r="B377" s="13"/>
      <c r="C377" s="13"/>
      <c r="D377" s="13"/>
      <c r="E377" s="13"/>
      <c r="F377" s="13"/>
      <c r="G377" s="13"/>
      <c r="H377" s="13"/>
      <c r="I377" s="13"/>
      <c r="J377" s="13"/>
      <c r="K377" s="13"/>
      <c r="L377" s="13"/>
      <c r="M377" s="13"/>
      <c r="N377" s="13"/>
      <c r="O377" s="13"/>
    </row>
    <row r="378" spans="2:15" x14ac:dyDescent="0.2">
      <c r="B378" s="13"/>
      <c r="C378" s="13"/>
      <c r="D378" s="13"/>
      <c r="E378" s="13"/>
      <c r="F378" s="13"/>
      <c r="G378" s="13"/>
      <c r="H378" s="13"/>
      <c r="I378" s="13"/>
      <c r="J378" s="13"/>
      <c r="K378" s="13"/>
      <c r="L378" s="13"/>
      <c r="M378" s="13"/>
      <c r="N378" s="13"/>
      <c r="O378" s="13"/>
    </row>
    <row r="379" spans="2:15" x14ac:dyDescent="0.2">
      <c r="B379" s="13"/>
      <c r="C379" s="13"/>
      <c r="D379" s="13"/>
      <c r="E379" s="13"/>
      <c r="F379" s="13"/>
      <c r="G379" s="13"/>
      <c r="H379" s="13"/>
      <c r="I379" s="13"/>
      <c r="J379" s="13"/>
      <c r="K379" s="13"/>
      <c r="L379" s="13"/>
      <c r="M379" s="13"/>
      <c r="N379" s="13"/>
      <c r="O379" s="13"/>
    </row>
    <row r="380" spans="2:15" x14ac:dyDescent="0.2">
      <c r="B380" s="13"/>
      <c r="C380" s="13"/>
      <c r="D380" s="13"/>
      <c r="E380" s="13"/>
      <c r="F380" s="13"/>
      <c r="G380" s="13"/>
      <c r="H380" s="13"/>
      <c r="I380" s="13"/>
      <c r="J380" s="13"/>
      <c r="K380" s="13"/>
      <c r="L380" s="13"/>
      <c r="M380" s="13"/>
      <c r="N380" s="13"/>
      <c r="O380" s="13"/>
    </row>
    <row r="381" spans="2:15" x14ac:dyDescent="0.2">
      <c r="B381" s="13"/>
      <c r="C381" s="13"/>
      <c r="D381" s="13"/>
      <c r="E381" s="13"/>
      <c r="F381" s="13"/>
      <c r="G381" s="13"/>
      <c r="H381" s="13"/>
      <c r="I381" s="13"/>
      <c r="J381" s="13"/>
      <c r="K381" s="13"/>
      <c r="L381" s="13"/>
      <c r="M381" s="13"/>
      <c r="N381" s="13"/>
      <c r="O381" s="13"/>
    </row>
    <row r="382" spans="2:15" x14ac:dyDescent="0.2">
      <c r="B382" s="13"/>
      <c r="C382" s="13"/>
      <c r="D382" s="13"/>
      <c r="E382" s="13"/>
      <c r="F382" s="13"/>
      <c r="G382" s="13"/>
      <c r="H382" s="13"/>
      <c r="I382" s="13"/>
      <c r="J382" s="13"/>
      <c r="K382" s="13"/>
      <c r="L382" s="13"/>
      <c r="M382" s="13"/>
      <c r="N382" s="13"/>
      <c r="O382" s="13"/>
    </row>
    <row r="383" spans="2:15" x14ac:dyDescent="0.2">
      <c r="B383" s="13"/>
      <c r="C383" s="13"/>
      <c r="D383" s="13"/>
      <c r="E383" s="13"/>
      <c r="F383" s="13"/>
      <c r="G383" s="13"/>
      <c r="H383" s="13"/>
      <c r="I383" s="13"/>
      <c r="J383" s="13"/>
      <c r="K383" s="13"/>
      <c r="L383" s="13"/>
      <c r="M383" s="13"/>
      <c r="N383" s="13"/>
      <c r="O383" s="13"/>
    </row>
    <row r="384" spans="2:15" x14ac:dyDescent="0.2">
      <c r="B384" s="13"/>
      <c r="C384" s="13"/>
      <c r="D384" s="13"/>
      <c r="E384" s="13"/>
      <c r="F384" s="13"/>
      <c r="G384" s="13"/>
      <c r="H384" s="13"/>
      <c r="I384" s="13"/>
      <c r="J384" s="13"/>
      <c r="K384" s="13"/>
      <c r="L384" s="13"/>
      <c r="M384" s="13"/>
      <c r="N384" s="13"/>
      <c r="O384" s="13"/>
    </row>
    <row r="385" spans="2:15" x14ac:dyDescent="0.2">
      <c r="B385" s="13"/>
      <c r="C385" s="13"/>
      <c r="D385" s="13"/>
      <c r="E385" s="13"/>
      <c r="F385" s="13"/>
      <c r="G385" s="13"/>
      <c r="H385" s="13"/>
      <c r="I385" s="13"/>
      <c r="J385" s="13"/>
      <c r="K385" s="13"/>
      <c r="L385" s="13"/>
      <c r="M385" s="13"/>
      <c r="N385" s="13"/>
      <c r="O385" s="13"/>
    </row>
    <row r="386" spans="2:15" x14ac:dyDescent="0.2">
      <c r="B386" s="13"/>
      <c r="C386" s="13"/>
      <c r="D386" s="13"/>
      <c r="E386" s="13"/>
      <c r="F386" s="13"/>
      <c r="G386" s="13"/>
      <c r="H386" s="13"/>
      <c r="I386" s="13"/>
      <c r="J386" s="13"/>
      <c r="K386" s="13"/>
      <c r="L386" s="13"/>
      <c r="M386" s="13"/>
      <c r="N386" s="13"/>
      <c r="O386" s="13"/>
    </row>
    <row r="387" spans="2:15" x14ac:dyDescent="0.2">
      <c r="B387" s="13"/>
      <c r="C387" s="13"/>
      <c r="D387" s="13"/>
      <c r="E387" s="13"/>
      <c r="F387" s="13"/>
      <c r="G387" s="13"/>
      <c r="H387" s="13"/>
      <c r="I387" s="13"/>
      <c r="J387" s="13"/>
      <c r="K387" s="13"/>
      <c r="L387" s="13"/>
      <c r="M387" s="13"/>
      <c r="N387" s="13"/>
      <c r="O387" s="13"/>
    </row>
    <row r="388" spans="2:15" x14ac:dyDescent="0.2">
      <c r="B388" s="13"/>
      <c r="C388" s="13"/>
      <c r="D388" s="13"/>
      <c r="E388" s="13"/>
      <c r="F388" s="13"/>
      <c r="G388" s="13"/>
      <c r="H388" s="13"/>
      <c r="I388" s="13"/>
      <c r="J388" s="13"/>
      <c r="K388" s="13"/>
      <c r="L388" s="13"/>
      <c r="M388" s="13"/>
      <c r="N388" s="13"/>
      <c r="O388" s="13"/>
    </row>
    <row r="389" spans="2:15" x14ac:dyDescent="0.2">
      <c r="B389" s="13"/>
      <c r="C389" s="13"/>
      <c r="D389" s="13"/>
      <c r="E389" s="13"/>
      <c r="F389" s="13"/>
      <c r="G389" s="13"/>
      <c r="H389" s="13"/>
      <c r="I389" s="13"/>
      <c r="J389" s="13"/>
      <c r="K389" s="13"/>
      <c r="L389" s="13"/>
      <c r="M389" s="13"/>
      <c r="N389" s="13"/>
      <c r="O389" s="13"/>
    </row>
    <row r="390" spans="2:15" x14ac:dyDescent="0.2">
      <c r="B390" s="13"/>
      <c r="C390" s="13"/>
      <c r="D390" s="13"/>
      <c r="E390" s="13"/>
      <c r="F390" s="13"/>
      <c r="G390" s="13"/>
      <c r="H390" s="13"/>
      <c r="I390" s="13"/>
      <c r="J390" s="13"/>
      <c r="K390" s="13"/>
      <c r="L390" s="13"/>
      <c r="M390" s="13"/>
      <c r="N390" s="13"/>
      <c r="O390" s="13"/>
    </row>
    <row r="391" spans="2:15" x14ac:dyDescent="0.2">
      <c r="B391" s="13"/>
      <c r="C391" s="13"/>
      <c r="D391" s="13"/>
      <c r="E391" s="13"/>
      <c r="F391" s="13"/>
      <c r="G391" s="13"/>
      <c r="H391" s="13"/>
      <c r="I391" s="13"/>
      <c r="J391" s="13"/>
      <c r="K391" s="13"/>
      <c r="L391" s="13"/>
      <c r="M391" s="13"/>
      <c r="N391" s="13"/>
      <c r="O391" s="13"/>
    </row>
    <row r="392" spans="2:15" x14ac:dyDescent="0.2">
      <c r="B392" s="13"/>
      <c r="C392" s="13"/>
      <c r="D392" s="13"/>
      <c r="E392" s="13"/>
      <c r="F392" s="13"/>
      <c r="G392" s="13"/>
      <c r="H392" s="13"/>
      <c r="I392" s="13"/>
      <c r="J392" s="13"/>
      <c r="K392" s="13"/>
      <c r="L392" s="13"/>
      <c r="M392" s="13"/>
      <c r="N392" s="13"/>
      <c r="O392" s="13"/>
    </row>
    <row r="393" spans="2:15" x14ac:dyDescent="0.2">
      <c r="B393" s="13"/>
      <c r="C393" s="13"/>
      <c r="D393" s="13"/>
      <c r="E393" s="13"/>
      <c r="F393" s="13"/>
      <c r="G393" s="13"/>
      <c r="H393" s="13"/>
      <c r="I393" s="13"/>
      <c r="J393" s="13"/>
      <c r="K393" s="13"/>
      <c r="L393" s="13"/>
      <c r="M393" s="13"/>
      <c r="N393" s="13"/>
      <c r="O393" s="13"/>
    </row>
    <row r="394" spans="2:15" x14ac:dyDescent="0.2">
      <c r="B394" s="13"/>
      <c r="C394" s="13"/>
      <c r="D394" s="13"/>
      <c r="E394" s="13"/>
      <c r="F394" s="13"/>
      <c r="G394" s="13"/>
      <c r="H394" s="13"/>
      <c r="I394" s="13"/>
      <c r="J394" s="13"/>
      <c r="K394" s="13"/>
      <c r="L394" s="13"/>
      <c r="M394" s="13"/>
      <c r="N394" s="13"/>
      <c r="O394" s="13"/>
    </row>
    <row r="395" spans="2:15" x14ac:dyDescent="0.2">
      <c r="B395" s="13"/>
      <c r="C395" s="13"/>
      <c r="D395" s="13"/>
      <c r="E395" s="13"/>
      <c r="F395" s="13"/>
      <c r="G395" s="13"/>
      <c r="H395" s="13"/>
      <c r="I395" s="13"/>
      <c r="J395" s="13"/>
      <c r="K395" s="13"/>
      <c r="L395" s="13"/>
      <c r="M395" s="13"/>
      <c r="N395" s="13"/>
      <c r="O395" s="13"/>
    </row>
    <row r="396" spans="2:15" x14ac:dyDescent="0.2">
      <c r="B396" s="13"/>
      <c r="C396" s="13"/>
      <c r="D396" s="13"/>
      <c r="E396" s="13"/>
      <c r="F396" s="13"/>
      <c r="G396" s="13"/>
      <c r="H396" s="13"/>
      <c r="I396" s="13"/>
      <c r="J396" s="13"/>
      <c r="K396" s="13"/>
      <c r="L396" s="13"/>
      <c r="M396" s="13"/>
      <c r="N396" s="13"/>
      <c r="O396" s="13"/>
    </row>
    <row r="397" spans="2:15" x14ac:dyDescent="0.2">
      <c r="B397" s="13"/>
      <c r="C397" s="13"/>
      <c r="D397" s="13"/>
      <c r="E397" s="13"/>
      <c r="F397" s="13"/>
      <c r="G397" s="13"/>
      <c r="H397" s="13"/>
      <c r="I397" s="13"/>
      <c r="J397" s="13"/>
      <c r="K397" s="13"/>
      <c r="L397" s="13"/>
      <c r="M397" s="13"/>
      <c r="N397" s="13"/>
      <c r="O397" s="13"/>
    </row>
    <row r="398" spans="2:15" x14ac:dyDescent="0.2">
      <c r="B398" s="13"/>
      <c r="C398" s="13"/>
      <c r="D398" s="13"/>
      <c r="E398" s="13"/>
      <c r="F398" s="13"/>
      <c r="G398" s="13"/>
      <c r="H398" s="13"/>
      <c r="I398" s="13"/>
      <c r="J398" s="13"/>
      <c r="K398" s="13"/>
      <c r="L398" s="13"/>
      <c r="M398" s="13"/>
      <c r="N398" s="13"/>
      <c r="O398" s="13"/>
    </row>
    <row r="399" spans="2:15" x14ac:dyDescent="0.2">
      <c r="B399" s="13"/>
      <c r="C399" s="13"/>
      <c r="D399" s="13"/>
      <c r="E399" s="13"/>
      <c r="F399" s="13"/>
      <c r="G399" s="13"/>
      <c r="H399" s="13"/>
      <c r="I399" s="13"/>
      <c r="J399" s="13"/>
      <c r="K399" s="13"/>
      <c r="L399" s="13"/>
      <c r="M399" s="13"/>
      <c r="N399" s="13"/>
      <c r="O399" s="13"/>
    </row>
    <row r="400" spans="2:15" x14ac:dyDescent="0.2">
      <c r="B400" s="13"/>
      <c r="C400" s="13"/>
      <c r="D400" s="13"/>
      <c r="E400" s="13"/>
      <c r="F400" s="13"/>
      <c r="G400" s="13"/>
      <c r="H400" s="13"/>
      <c r="I400" s="13"/>
      <c r="J400" s="13"/>
      <c r="K400" s="13"/>
      <c r="L400" s="13"/>
      <c r="M400" s="13"/>
      <c r="N400" s="13"/>
      <c r="O400" s="13"/>
    </row>
    <row r="401" spans="2:15" x14ac:dyDescent="0.2">
      <c r="B401" s="13"/>
      <c r="C401" s="13"/>
      <c r="D401" s="13"/>
      <c r="E401" s="13"/>
      <c r="F401" s="13"/>
      <c r="G401" s="13"/>
      <c r="H401" s="13"/>
      <c r="I401" s="13"/>
      <c r="J401" s="13"/>
      <c r="K401" s="13"/>
      <c r="L401" s="13"/>
      <c r="M401" s="13"/>
      <c r="N401" s="13"/>
      <c r="O401" s="13"/>
    </row>
    <row r="402" spans="2:15" x14ac:dyDescent="0.2">
      <c r="B402" s="13"/>
      <c r="C402" s="13"/>
      <c r="D402" s="13"/>
      <c r="E402" s="13"/>
      <c r="F402" s="13"/>
      <c r="G402" s="13"/>
      <c r="H402" s="13"/>
      <c r="I402" s="13"/>
      <c r="J402" s="13"/>
      <c r="K402" s="13"/>
      <c r="L402" s="13"/>
      <c r="M402" s="13"/>
      <c r="N402" s="13"/>
      <c r="O402" s="13"/>
    </row>
    <row r="403" spans="2:15" x14ac:dyDescent="0.2">
      <c r="B403" s="13"/>
      <c r="C403" s="13"/>
      <c r="D403" s="13"/>
      <c r="E403" s="13"/>
      <c r="F403" s="13"/>
      <c r="G403" s="13"/>
      <c r="H403" s="13"/>
      <c r="I403" s="13"/>
      <c r="J403" s="13"/>
      <c r="K403" s="13"/>
      <c r="L403" s="13"/>
      <c r="M403" s="13"/>
      <c r="N403" s="13"/>
      <c r="O403" s="13"/>
    </row>
    <row r="404" spans="2:15" x14ac:dyDescent="0.2">
      <c r="B404" s="13"/>
      <c r="C404" s="13"/>
      <c r="D404" s="13"/>
      <c r="E404" s="13"/>
      <c r="F404" s="13"/>
      <c r="G404" s="13"/>
      <c r="H404" s="13"/>
      <c r="I404" s="13"/>
      <c r="J404" s="13"/>
      <c r="K404" s="13"/>
      <c r="L404" s="13"/>
      <c r="M404" s="13"/>
      <c r="N404" s="13"/>
      <c r="O404" s="13"/>
    </row>
    <row r="405" spans="2:15" x14ac:dyDescent="0.2">
      <c r="B405" s="13"/>
      <c r="C405" s="13"/>
      <c r="D405" s="13"/>
      <c r="E405" s="13"/>
      <c r="F405" s="13"/>
      <c r="G405" s="13"/>
      <c r="H405" s="13"/>
      <c r="I405" s="13"/>
      <c r="J405" s="13"/>
      <c r="K405" s="13"/>
      <c r="L405" s="13"/>
      <c r="M405" s="13"/>
      <c r="N405" s="13"/>
      <c r="O405" s="13"/>
    </row>
    <row r="406" spans="2:15" x14ac:dyDescent="0.2">
      <c r="B406" s="13"/>
      <c r="C406" s="13"/>
      <c r="D406" s="13"/>
      <c r="E406" s="13"/>
      <c r="F406" s="13"/>
      <c r="G406" s="13"/>
      <c r="H406" s="13"/>
      <c r="I406" s="13"/>
      <c r="J406" s="13"/>
      <c r="K406" s="13"/>
      <c r="L406" s="13"/>
      <c r="M406" s="13"/>
      <c r="N406" s="13"/>
      <c r="O406" s="13"/>
    </row>
    <row r="407" spans="2:15" x14ac:dyDescent="0.2">
      <c r="B407" s="13"/>
      <c r="C407" s="13"/>
      <c r="D407" s="13"/>
      <c r="E407" s="13"/>
      <c r="F407" s="13"/>
      <c r="G407" s="13"/>
      <c r="H407" s="13"/>
      <c r="I407" s="13"/>
      <c r="J407" s="13"/>
      <c r="K407" s="13"/>
      <c r="L407" s="13"/>
      <c r="M407" s="13"/>
      <c r="N407" s="13"/>
      <c r="O407" s="13"/>
    </row>
    <row r="408" spans="2:15" x14ac:dyDescent="0.2">
      <c r="B408" s="13"/>
      <c r="C408" s="13"/>
      <c r="D408" s="13"/>
      <c r="E408" s="13"/>
      <c r="F408" s="13"/>
      <c r="G408" s="13"/>
      <c r="H408" s="13"/>
      <c r="I408" s="13"/>
      <c r="J408" s="13"/>
      <c r="K408" s="13"/>
      <c r="L408" s="13"/>
      <c r="M408" s="13"/>
      <c r="N408" s="13"/>
      <c r="O408" s="13"/>
    </row>
    <row r="409" spans="2:15" x14ac:dyDescent="0.2">
      <c r="B409" s="13"/>
      <c r="C409" s="13"/>
      <c r="D409" s="13"/>
      <c r="E409" s="13"/>
      <c r="F409" s="13"/>
      <c r="G409" s="13"/>
      <c r="H409" s="13"/>
      <c r="I409" s="13"/>
      <c r="J409" s="13"/>
      <c r="K409" s="13"/>
      <c r="L409" s="13"/>
      <c r="M409" s="13"/>
      <c r="N409" s="13"/>
      <c r="O409" s="13"/>
    </row>
    <row r="410" spans="2:15" x14ac:dyDescent="0.2">
      <c r="B410" s="13"/>
      <c r="C410" s="13"/>
      <c r="D410" s="13"/>
      <c r="E410" s="13"/>
      <c r="F410" s="13"/>
      <c r="G410" s="13"/>
      <c r="H410" s="13"/>
      <c r="I410" s="13"/>
      <c r="J410" s="13"/>
      <c r="K410" s="13"/>
      <c r="L410" s="13"/>
      <c r="M410" s="13"/>
      <c r="N410" s="13"/>
      <c r="O410" s="13"/>
    </row>
    <row r="411" spans="2:15" x14ac:dyDescent="0.2">
      <c r="B411" s="13"/>
      <c r="C411" s="13"/>
      <c r="D411" s="13"/>
      <c r="E411" s="13"/>
      <c r="F411" s="13"/>
      <c r="G411" s="13"/>
      <c r="H411" s="13"/>
      <c r="I411" s="13"/>
      <c r="J411" s="13"/>
      <c r="K411" s="13"/>
      <c r="L411" s="13"/>
      <c r="M411" s="13"/>
      <c r="N411" s="13"/>
      <c r="O411" s="13"/>
    </row>
    <row r="412" spans="2:15" x14ac:dyDescent="0.2">
      <c r="B412" s="13"/>
      <c r="C412" s="13"/>
      <c r="D412" s="13"/>
      <c r="E412" s="13"/>
      <c r="F412" s="13"/>
      <c r="G412" s="13"/>
      <c r="H412" s="13"/>
      <c r="I412" s="13"/>
      <c r="J412" s="13"/>
      <c r="K412" s="13"/>
      <c r="L412" s="13"/>
      <c r="M412" s="13"/>
      <c r="N412" s="13"/>
      <c r="O412" s="13"/>
    </row>
    <row r="413" spans="2:15" x14ac:dyDescent="0.2">
      <c r="B413" s="13"/>
      <c r="C413" s="13"/>
      <c r="D413" s="13"/>
      <c r="E413" s="13"/>
      <c r="F413" s="13"/>
      <c r="G413" s="13"/>
      <c r="H413" s="13"/>
      <c r="I413" s="13"/>
      <c r="J413" s="13"/>
      <c r="K413" s="13"/>
      <c r="L413" s="13"/>
      <c r="M413" s="13"/>
      <c r="N413" s="13"/>
      <c r="O413" s="13"/>
    </row>
    <row r="414" spans="2:15" x14ac:dyDescent="0.2">
      <c r="B414" s="13"/>
      <c r="C414" s="13"/>
      <c r="D414" s="13"/>
      <c r="E414" s="13"/>
      <c r="F414" s="13"/>
      <c r="G414" s="13"/>
      <c r="H414" s="13"/>
      <c r="I414" s="13"/>
      <c r="J414" s="13"/>
      <c r="K414" s="13"/>
      <c r="L414" s="13"/>
      <c r="M414" s="13"/>
      <c r="N414" s="13"/>
      <c r="O414" s="13"/>
    </row>
    <row r="415" spans="2:15" x14ac:dyDescent="0.2">
      <c r="B415" s="13"/>
      <c r="C415" s="13"/>
      <c r="D415" s="13"/>
      <c r="E415" s="13"/>
      <c r="F415" s="13"/>
      <c r="G415" s="13"/>
      <c r="H415" s="13"/>
      <c r="I415" s="13"/>
      <c r="J415" s="13"/>
      <c r="K415" s="13"/>
      <c r="L415" s="13"/>
      <c r="M415" s="13"/>
      <c r="N415" s="13"/>
      <c r="O415" s="13"/>
    </row>
    <row r="416" spans="2:15" x14ac:dyDescent="0.2">
      <c r="B416" s="13"/>
      <c r="C416" s="13"/>
      <c r="D416" s="13"/>
      <c r="E416" s="13"/>
      <c r="F416" s="13"/>
      <c r="G416" s="13"/>
      <c r="H416" s="13"/>
      <c r="I416" s="13"/>
      <c r="J416" s="13"/>
      <c r="K416" s="13"/>
      <c r="L416" s="13"/>
      <c r="M416" s="13"/>
      <c r="N416" s="13"/>
      <c r="O416" s="13"/>
    </row>
    <row r="417" spans="2:15" x14ac:dyDescent="0.2">
      <c r="B417" s="13"/>
      <c r="C417" s="13"/>
      <c r="D417" s="13"/>
      <c r="E417" s="13"/>
      <c r="F417" s="13"/>
      <c r="G417" s="13"/>
      <c r="H417" s="13"/>
      <c r="I417" s="13"/>
      <c r="J417" s="13"/>
      <c r="K417" s="13"/>
      <c r="L417" s="13"/>
      <c r="M417" s="13"/>
      <c r="N417" s="13"/>
      <c r="O417" s="13"/>
    </row>
    <row r="418" spans="2:15" x14ac:dyDescent="0.2">
      <c r="B418" s="13"/>
      <c r="C418" s="13"/>
      <c r="D418" s="13"/>
      <c r="E418" s="13"/>
      <c r="F418" s="13"/>
      <c r="G418" s="13"/>
      <c r="H418" s="13"/>
      <c r="I418" s="13"/>
      <c r="J418" s="13"/>
      <c r="K418" s="13"/>
      <c r="L418" s="13"/>
      <c r="M418" s="13"/>
      <c r="N418" s="13"/>
      <c r="O418" s="13"/>
    </row>
    <row r="419" spans="2:15" x14ac:dyDescent="0.2">
      <c r="B419" s="13"/>
      <c r="C419" s="13"/>
      <c r="D419" s="13"/>
      <c r="E419" s="13"/>
      <c r="F419" s="13"/>
      <c r="G419" s="13"/>
      <c r="H419" s="13"/>
      <c r="I419" s="13"/>
      <c r="J419" s="13"/>
      <c r="K419" s="13"/>
      <c r="L419" s="13"/>
      <c r="M419" s="13"/>
      <c r="N419" s="13"/>
      <c r="O419" s="13"/>
    </row>
    <row r="420" spans="2:15" x14ac:dyDescent="0.2">
      <c r="B420" s="13"/>
      <c r="C420" s="13"/>
      <c r="D420" s="13"/>
      <c r="E420" s="13"/>
      <c r="F420" s="13"/>
      <c r="G420" s="13"/>
      <c r="H420" s="13"/>
      <c r="I420" s="13"/>
      <c r="J420" s="13"/>
      <c r="K420" s="13"/>
      <c r="L420" s="13"/>
      <c r="M420" s="13"/>
      <c r="N420" s="13"/>
      <c r="O420" s="13"/>
    </row>
    <row r="421" spans="2:15" x14ac:dyDescent="0.2">
      <c r="B421" s="13"/>
      <c r="C421" s="13"/>
      <c r="D421" s="13"/>
      <c r="E421" s="13"/>
      <c r="F421" s="13"/>
      <c r="G421" s="13"/>
      <c r="H421" s="13"/>
      <c r="I421" s="13"/>
      <c r="J421" s="13"/>
      <c r="K421" s="13"/>
      <c r="L421" s="13"/>
      <c r="M421" s="13"/>
      <c r="N421" s="13"/>
      <c r="O421" s="13"/>
    </row>
    <row r="422" spans="2:15" x14ac:dyDescent="0.2">
      <c r="B422" s="13"/>
      <c r="C422" s="13"/>
      <c r="D422" s="13"/>
      <c r="E422" s="13"/>
      <c r="F422" s="13"/>
      <c r="G422" s="13"/>
      <c r="H422" s="13"/>
      <c r="I422" s="13"/>
      <c r="J422" s="13"/>
      <c r="K422" s="13"/>
      <c r="L422" s="13"/>
      <c r="M422" s="13"/>
      <c r="N422" s="13"/>
      <c r="O422" s="13"/>
    </row>
    <row r="423" spans="2:15" x14ac:dyDescent="0.2">
      <c r="B423" s="13"/>
      <c r="C423" s="13"/>
      <c r="D423" s="13"/>
      <c r="E423" s="13"/>
      <c r="F423" s="13"/>
      <c r="G423" s="13"/>
      <c r="H423" s="13"/>
      <c r="I423" s="13"/>
      <c r="J423" s="13"/>
      <c r="K423" s="13"/>
      <c r="L423" s="13"/>
      <c r="M423" s="13"/>
      <c r="N423" s="13"/>
      <c r="O423" s="13"/>
    </row>
    <row r="424" spans="2:15" x14ac:dyDescent="0.2">
      <c r="B424" s="13"/>
      <c r="C424" s="13"/>
      <c r="D424" s="13"/>
      <c r="E424" s="13"/>
      <c r="F424" s="13"/>
      <c r="G424" s="13"/>
      <c r="H424" s="13"/>
      <c r="I424" s="13"/>
      <c r="J424" s="13"/>
      <c r="K424" s="13"/>
      <c r="L424" s="13"/>
      <c r="M424" s="13"/>
      <c r="N424" s="13"/>
      <c r="O424" s="13"/>
    </row>
    <row r="425" spans="2:15" x14ac:dyDescent="0.2">
      <c r="B425" s="13"/>
      <c r="C425" s="13"/>
      <c r="D425" s="13"/>
      <c r="E425" s="13"/>
      <c r="F425" s="13"/>
      <c r="G425" s="13"/>
      <c r="H425" s="13"/>
      <c r="I425" s="13"/>
      <c r="J425" s="13"/>
      <c r="K425" s="13"/>
      <c r="L425" s="13"/>
      <c r="M425" s="13"/>
      <c r="N425" s="13"/>
      <c r="O425" s="13"/>
    </row>
    <row r="426" spans="2:15" x14ac:dyDescent="0.2">
      <c r="B426" s="13"/>
      <c r="C426" s="13"/>
      <c r="D426" s="13"/>
      <c r="E426" s="13"/>
      <c r="F426" s="13"/>
      <c r="G426" s="13"/>
      <c r="H426" s="13"/>
      <c r="I426" s="13"/>
      <c r="J426" s="13"/>
      <c r="K426" s="13"/>
      <c r="L426" s="13"/>
      <c r="M426" s="13"/>
      <c r="N426" s="13"/>
      <c r="O426" s="13"/>
    </row>
    <row r="427" spans="2:15" x14ac:dyDescent="0.2">
      <c r="B427" s="13"/>
      <c r="C427" s="13"/>
      <c r="D427" s="13"/>
      <c r="E427" s="13"/>
      <c r="F427" s="13"/>
      <c r="G427" s="13"/>
      <c r="H427" s="13"/>
      <c r="I427" s="13"/>
      <c r="J427" s="13"/>
      <c r="K427" s="13"/>
      <c r="L427" s="13"/>
      <c r="M427" s="13"/>
      <c r="N427" s="13"/>
      <c r="O427" s="13"/>
    </row>
    <row r="428" spans="2:15" x14ac:dyDescent="0.2">
      <c r="B428" s="13"/>
      <c r="C428" s="13"/>
      <c r="D428" s="13"/>
      <c r="E428" s="13"/>
      <c r="F428" s="13"/>
      <c r="G428" s="13"/>
      <c r="H428" s="13"/>
      <c r="I428" s="13"/>
      <c r="J428" s="13"/>
      <c r="K428" s="13"/>
      <c r="L428" s="13"/>
      <c r="M428" s="13"/>
      <c r="N428" s="13"/>
      <c r="O428" s="13"/>
    </row>
    <row r="429" spans="2:15" x14ac:dyDescent="0.2">
      <c r="B429" s="13"/>
      <c r="C429" s="13"/>
      <c r="D429" s="13"/>
      <c r="E429" s="13"/>
      <c r="F429" s="13"/>
      <c r="G429" s="13"/>
      <c r="H429" s="13"/>
      <c r="I429" s="13"/>
      <c r="J429" s="13"/>
      <c r="K429" s="13"/>
      <c r="L429" s="13"/>
      <c r="M429" s="13"/>
      <c r="N429" s="13"/>
      <c r="O429" s="13"/>
    </row>
    <row r="430" spans="2:15" x14ac:dyDescent="0.2">
      <c r="B430" s="13"/>
      <c r="C430" s="13"/>
      <c r="D430" s="13"/>
      <c r="E430" s="13"/>
      <c r="F430" s="13"/>
      <c r="G430" s="13"/>
      <c r="H430" s="13"/>
      <c r="I430" s="13"/>
      <c r="J430" s="13"/>
      <c r="K430" s="13"/>
      <c r="L430" s="13"/>
      <c r="M430" s="13"/>
      <c r="N430" s="13"/>
      <c r="O430" s="13"/>
    </row>
    <row r="431" spans="2:15" x14ac:dyDescent="0.2">
      <c r="B431" s="13"/>
      <c r="C431" s="13"/>
      <c r="D431" s="13"/>
      <c r="E431" s="13"/>
      <c r="F431" s="13"/>
      <c r="G431" s="13"/>
      <c r="H431" s="13"/>
      <c r="I431" s="13"/>
      <c r="J431" s="13"/>
      <c r="K431" s="13"/>
      <c r="L431" s="13"/>
      <c r="M431" s="13"/>
      <c r="N431" s="13"/>
      <c r="O431" s="13"/>
    </row>
    <row r="432" spans="2:15" x14ac:dyDescent="0.2">
      <c r="B432" s="13"/>
      <c r="C432" s="13"/>
      <c r="D432" s="13"/>
      <c r="E432" s="13"/>
      <c r="F432" s="13"/>
      <c r="G432" s="13"/>
      <c r="H432" s="13"/>
      <c r="I432" s="13"/>
      <c r="J432" s="13"/>
      <c r="K432" s="13"/>
      <c r="L432" s="13"/>
      <c r="M432" s="13"/>
      <c r="N432" s="13"/>
      <c r="O432" s="13"/>
    </row>
    <row r="433" spans="2:15" x14ac:dyDescent="0.2">
      <c r="B433" s="13"/>
      <c r="C433" s="13"/>
      <c r="D433" s="13"/>
      <c r="E433" s="13"/>
      <c r="F433" s="13"/>
      <c r="G433" s="13"/>
      <c r="H433" s="13"/>
      <c r="I433" s="13"/>
      <c r="J433" s="13"/>
      <c r="K433" s="13"/>
      <c r="L433" s="13"/>
      <c r="M433" s="13"/>
      <c r="N433" s="13"/>
      <c r="O433" s="13"/>
    </row>
    <row r="434" spans="2:15" x14ac:dyDescent="0.2">
      <c r="B434" s="13"/>
      <c r="C434" s="13"/>
      <c r="D434" s="13"/>
      <c r="E434" s="13"/>
      <c r="F434" s="13"/>
      <c r="G434" s="13"/>
      <c r="H434" s="13"/>
      <c r="I434" s="13"/>
      <c r="J434" s="13"/>
      <c r="K434" s="13"/>
      <c r="L434" s="13"/>
      <c r="M434" s="13"/>
      <c r="N434" s="13"/>
      <c r="O434" s="13"/>
    </row>
    <row r="435" spans="2:15" x14ac:dyDescent="0.2">
      <c r="B435" s="13"/>
      <c r="C435" s="13"/>
      <c r="D435" s="13"/>
      <c r="E435" s="13"/>
      <c r="F435" s="13"/>
      <c r="G435" s="13"/>
      <c r="H435" s="13"/>
      <c r="I435" s="13"/>
      <c r="J435" s="13"/>
      <c r="K435" s="13"/>
      <c r="L435" s="13"/>
      <c r="M435" s="13"/>
      <c r="N435" s="13"/>
      <c r="O435" s="13"/>
    </row>
    <row r="436" spans="2:15" x14ac:dyDescent="0.2">
      <c r="B436" s="13"/>
      <c r="C436" s="13"/>
      <c r="D436" s="13"/>
      <c r="E436" s="13"/>
      <c r="F436" s="13"/>
      <c r="G436" s="13"/>
      <c r="H436" s="13"/>
      <c r="I436" s="13"/>
      <c r="J436" s="13"/>
      <c r="K436" s="13"/>
      <c r="L436" s="13"/>
      <c r="M436" s="13"/>
      <c r="N436" s="13"/>
      <c r="O436" s="13"/>
    </row>
    <row r="437" spans="2:15" x14ac:dyDescent="0.2">
      <c r="B437" s="13"/>
      <c r="C437" s="13"/>
      <c r="D437" s="13"/>
      <c r="E437" s="13"/>
      <c r="F437" s="13"/>
      <c r="G437" s="13"/>
      <c r="H437" s="13"/>
      <c r="I437" s="13"/>
      <c r="J437" s="13"/>
      <c r="K437" s="13"/>
      <c r="L437" s="13"/>
      <c r="M437" s="13"/>
      <c r="N437" s="13"/>
      <c r="O437" s="13"/>
    </row>
    <row r="438" spans="2:15" x14ac:dyDescent="0.2">
      <c r="B438" s="13"/>
      <c r="C438" s="13"/>
      <c r="D438" s="13"/>
      <c r="E438" s="13"/>
      <c r="F438" s="13"/>
      <c r="G438" s="13"/>
      <c r="H438" s="13"/>
      <c r="I438" s="13"/>
      <c r="J438" s="13"/>
      <c r="K438" s="13"/>
      <c r="L438" s="13"/>
      <c r="M438" s="13"/>
      <c r="N438" s="13"/>
      <c r="O438" s="13"/>
    </row>
    <row r="439" spans="2:15" x14ac:dyDescent="0.2">
      <c r="B439" s="13"/>
      <c r="C439" s="13"/>
      <c r="D439" s="13"/>
      <c r="E439" s="13"/>
      <c r="F439" s="13"/>
      <c r="G439" s="13"/>
      <c r="H439" s="13"/>
      <c r="I439" s="13"/>
      <c r="J439" s="13"/>
      <c r="K439" s="13"/>
      <c r="L439" s="13"/>
      <c r="M439" s="13"/>
      <c r="N439" s="13"/>
      <c r="O439" s="13"/>
    </row>
    <row r="440" spans="2:15" x14ac:dyDescent="0.2">
      <c r="B440" s="13"/>
      <c r="C440" s="13"/>
      <c r="D440" s="13"/>
      <c r="E440" s="13"/>
      <c r="F440" s="13"/>
      <c r="G440" s="13"/>
      <c r="H440" s="13"/>
      <c r="I440" s="13"/>
      <c r="J440" s="13"/>
      <c r="K440" s="13"/>
      <c r="L440" s="13"/>
      <c r="M440" s="13"/>
      <c r="N440" s="13"/>
      <c r="O440" s="13"/>
    </row>
    <row r="441" spans="2:15" x14ac:dyDescent="0.2">
      <c r="B441" s="13"/>
      <c r="C441" s="13"/>
      <c r="D441" s="13"/>
      <c r="E441" s="13"/>
      <c r="F441" s="13"/>
      <c r="G441" s="13"/>
      <c r="H441" s="13"/>
      <c r="I441" s="13"/>
      <c r="J441" s="13"/>
      <c r="K441" s="13"/>
      <c r="L441" s="13"/>
      <c r="M441" s="13"/>
      <c r="N441" s="13"/>
      <c r="O441" s="13"/>
    </row>
    <row r="442" spans="2:15" x14ac:dyDescent="0.2">
      <c r="B442" s="13"/>
      <c r="C442" s="13"/>
      <c r="D442" s="13"/>
      <c r="E442" s="13"/>
      <c r="F442" s="13"/>
      <c r="G442" s="13"/>
      <c r="H442" s="13"/>
      <c r="I442" s="13"/>
      <c r="J442" s="13"/>
      <c r="K442" s="13"/>
      <c r="L442" s="13"/>
      <c r="M442" s="13"/>
      <c r="N442" s="13"/>
      <c r="O442" s="13"/>
    </row>
    <row r="443" spans="2:15" x14ac:dyDescent="0.2">
      <c r="B443" s="13"/>
      <c r="C443" s="13"/>
      <c r="D443" s="13"/>
      <c r="E443" s="13"/>
      <c r="F443" s="13"/>
      <c r="G443" s="13"/>
      <c r="H443" s="13"/>
      <c r="I443" s="13"/>
      <c r="J443" s="13"/>
      <c r="K443" s="13"/>
      <c r="L443" s="13"/>
      <c r="M443" s="13"/>
      <c r="N443" s="13"/>
      <c r="O443" s="13"/>
    </row>
    <row r="444" spans="2:15" x14ac:dyDescent="0.2">
      <c r="B444" s="13"/>
      <c r="C444" s="13"/>
      <c r="D444" s="13"/>
      <c r="E444" s="13"/>
      <c r="F444" s="13"/>
      <c r="G444" s="13"/>
      <c r="H444" s="13"/>
      <c r="I444" s="13"/>
      <c r="J444" s="13"/>
      <c r="K444" s="13"/>
      <c r="L444" s="13"/>
      <c r="M444" s="13"/>
      <c r="N444" s="13"/>
      <c r="O444" s="13"/>
    </row>
    <row r="445" spans="2:15" x14ac:dyDescent="0.2">
      <c r="B445" s="13"/>
      <c r="C445" s="13"/>
      <c r="D445" s="13"/>
      <c r="E445" s="13"/>
      <c r="F445" s="13"/>
      <c r="G445" s="13"/>
      <c r="H445" s="13"/>
      <c r="I445" s="13"/>
      <c r="J445" s="13"/>
      <c r="K445" s="13"/>
      <c r="L445" s="13"/>
      <c r="M445" s="13"/>
      <c r="N445" s="13"/>
      <c r="O445" s="13"/>
    </row>
    <row r="446" spans="2:15" x14ac:dyDescent="0.2">
      <c r="B446" s="13"/>
      <c r="C446" s="13"/>
      <c r="D446" s="13"/>
      <c r="E446" s="13"/>
      <c r="F446" s="13"/>
      <c r="G446" s="13"/>
      <c r="H446" s="13"/>
      <c r="I446" s="13"/>
      <c r="J446" s="13"/>
      <c r="K446" s="13"/>
      <c r="L446" s="13"/>
      <c r="M446" s="13"/>
      <c r="N446" s="13"/>
      <c r="O446" s="13"/>
    </row>
    <row r="447" spans="2:15" x14ac:dyDescent="0.2">
      <c r="B447" s="13"/>
      <c r="C447" s="13"/>
      <c r="D447" s="13"/>
      <c r="E447" s="13"/>
      <c r="F447" s="13"/>
      <c r="G447" s="13"/>
      <c r="H447" s="13"/>
      <c r="I447" s="13"/>
      <c r="J447" s="13"/>
      <c r="K447" s="13"/>
      <c r="L447" s="13"/>
      <c r="M447" s="13"/>
      <c r="N447" s="13"/>
      <c r="O447" s="13"/>
    </row>
    <row r="448" spans="2:15" x14ac:dyDescent="0.2">
      <c r="B448" s="13"/>
      <c r="C448" s="13"/>
      <c r="D448" s="13"/>
      <c r="E448" s="13"/>
      <c r="F448" s="13"/>
      <c r="G448" s="13"/>
      <c r="H448" s="13"/>
      <c r="I448" s="13"/>
      <c r="J448" s="13"/>
      <c r="K448" s="13"/>
      <c r="L448" s="13"/>
      <c r="M448" s="13"/>
      <c r="N448" s="13"/>
      <c r="O448" s="13"/>
    </row>
    <row r="449" spans="2:15" x14ac:dyDescent="0.2">
      <c r="B449" s="13"/>
      <c r="C449" s="13"/>
      <c r="D449" s="13"/>
      <c r="E449" s="13"/>
      <c r="F449" s="13"/>
      <c r="G449" s="13"/>
      <c r="H449" s="13"/>
      <c r="I449" s="13"/>
      <c r="J449" s="13"/>
      <c r="K449" s="13"/>
      <c r="L449" s="13"/>
      <c r="M449" s="13"/>
      <c r="N449" s="13"/>
      <c r="O449" s="13"/>
    </row>
    <row r="450" spans="2:15" x14ac:dyDescent="0.2">
      <c r="B450" s="13"/>
      <c r="C450" s="13"/>
      <c r="D450" s="13"/>
      <c r="E450" s="13"/>
      <c r="F450" s="13"/>
      <c r="G450" s="13"/>
      <c r="H450" s="13"/>
      <c r="I450" s="13"/>
      <c r="J450" s="13"/>
      <c r="K450" s="13"/>
      <c r="L450" s="13"/>
      <c r="M450" s="13"/>
      <c r="N450" s="13"/>
      <c r="O450" s="13"/>
    </row>
    <row r="451" spans="2:15" x14ac:dyDescent="0.2">
      <c r="B451" s="13"/>
      <c r="C451" s="13"/>
      <c r="D451" s="13"/>
      <c r="E451" s="13"/>
      <c r="F451" s="13"/>
      <c r="G451" s="13"/>
      <c r="H451" s="13"/>
      <c r="I451" s="13"/>
      <c r="J451" s="13"/>
      <c r="K451" s="13"/>
      <c r="L451" s="13"/>
      <c r="M451" s="13"/>
      <c r="N451" s="13"/>
      <c r="O451" s="13"/>
    </row>
    <row r="452" spans="2:15" x14ac:dyDescent="0.2">
      <c r="B452" s="13"/>
      <c r="C452" s="13"/>
      <c r="D452" s="13"/>
      <c r="E452" s="13"/>
      <c r="F452" s="13"/>
      <c r="G452" s="13"/>
      <c r="H452" s="13"/>
      <c r="I452" s="13"/>
      <c r="J452" s="13"/>
      <c r="K452" s="13"/>
      <c r="L452" s="13"/>
      <c r="M452" s="13"/>
      <c r="N452" s="13"/>
      <c r="O452" s="13"/>
    </row>
    <row r="453" spans="2:15" x14ac:dyDescent="0.2">
      <c r="B453" s="13"/>
      <c r="C453" s="13"/>
      <c r="D453" s="13"/>
      <c r="E453" s="13"/>
      <c r="F453" s="13"/>
      <c r="G453" s="13"/>
      <c r="H453" s="13"/>
      <c r="I453" s="13"/>
      <c r="J453" s="13"/>
      <c r="K453" s="13"/>
      <c r="L453" s="13"/>
      <c r="M453" s="13"/>
      <c r="N453" s="13"/>
      <c r="O453" s="13"/>
    </row>
    <row r="454" spans="2:15" x14ac:dyDescent="0.2">
      <c r="B454" s="13"/>
      <c r="C454" s="13"/>
      <c r="D454" s="13"/>
      <c r="E454" s="13"/>
      <c r="F454" s="13"/>
      <c r="G454" s="13"/>
      <c r="H454" s="13"/>
      <c r="I454" s="13"/>
      <c r="J454" s="13"/>
      <c r="K454" s="13"/>
      <c r="L454" s="13"/>
      <c r="M454" s="13"/>
      <c r="N454" s="13"/>
      <c r="O454" s="13"/>
    </row>
    <row r="455" spans="2:15" x14ac:dyDescent="0.2">
      <c r="B455" s="13"/>
      <c r="C455" s="13"/>
      <c r="D455" s="13"/>
      <c r="E455" s="13"/>
      <c r="F455" s="13"/>
      <c r="G455" s="13"/>
      <c r="H455" s="13"/>
      <c r="I455" s="13"/>
      <c r="J455" s="13"/>
      <c r="K455" s="13"/>
      <c r="L455" s="13"/>
      <c r="M455" s="13"/>
      <c r="N455" s="13"/>
      <c r="O455" s="13"/>
    </row>
    <row r="456" spans="2:15" x14ac:dyDescent="0.2">
      <c r="B456" s="13"/>
      <c r="C456" s="13"/>
      <c r="D456" s="13"/>
      <c r="E456" s="13"/>
      <c r="F456" s="13"/>
      <c r="G456" s="13"/>
      <c r="H456" s="13"/>
      <c r="I456" s="13"/>
      <c r="J456" s="13"/>
      <c r="K456" s="13"/>
      <c r="L456" s="13"/>
      <c r="M456" s="13"/>
      <c r="N456" s="13"/>
      <c r="O456" s="13"/>
    </row>
    <row r="457" spans="2:15" x14ac:dyDescent="0.2">
      <c r="B457" s="13"/>
      <c r="C457" s="13"/>
      <c r="D457" s="13"/>
      <c r="E457" s="13"/>
      <c r="F457" s="13"/>
      <c r="G457" s="13"/>
      <c r="H457" s="13"/>
      <c r="I457" s="13"/>
      <c r="J457" s="13"/>
      <c r="K457" s="13"/>
      <c r="L457" s="13"/>
      <c r="M457" s="13"/>
      <c r="N457" s="13"/>
      <c r="O457" s="13"/>
    </row>
    <row r="458" spans="2:15" x14ac:dyDescent="0.2">
      <c r="B458" s="13"/>
      <c r="C458" s="13"/>
      <c r="D458" s="13"/>
      <c r="E458" s="13"/>
      <c r="F458" s="13"/>
      <c r="G458" s="13"/>
      <c r="H458" s="13"/>
      <c r="I458" s="13"/>
      <c r="J458" s="13"/>
      <c r="K458" s="13"/>
      <c r="L458" s="13"/>
      <c r="M458" s="13"/>
      <c r="N458" s="13"/>
      <c r="O458" s="13"/>
    </row>
    <row r="459" spans="2:15" x14ac:dyDescent="0.2">
      <c r="B459" s="13"/>
      <c r="C459" s="13"/>
      <c r="D459" s="13"/>
      <c r="E459" s="13"/>
      <c r="F459" s="13"/>
      <c r="G459" s="13"/>
      <c r="H459" s="13"/>
      <c r="I459" s="13"/>
      <c r="J459" s="13"/>
      <c r="K459" s="13"/>
      <c r="L459" s="13"/>
      <c r="M459" s="13"/>
      <c r="N459" s="13"/>
      <c r="O459" s="13"/>
    </row>
    <row r="460" spans="2:15" x14ac:dyDescent="0.2">
      <c r="B460" s="13"/>
      <c r="C460" s="13"/>
      <c r="D460" s="13"/>
      <c r="E460" s="13"/>
      <c r="F460" s="13"/>
      <c r="G460" s="13"/>
      <c r="H460" s="13"/>
      <c r="I460" s="13"/>
      <c r="J460" s="13"/>
      <c r="K460" s="13"/>
      <c r="L460" s="13"/>
      <c r="M460" s="13"/>
      <c r="N460" s="13"/>
      <c r="O460" s="13"/>
    </row>
    <row r="461" spans="2:15" x14ac:dyDescent="0.2">
      <c r="B461" s="13"/>
      <c r="C461" s="13"/>
      <c r="D461" s="13"/>
      <c r="E461" s="13"/>
      <c r="F461" s="13"/>
      <c r="G461" s="13"/>
      <c r="H461" s="13"/>
      <c r="I461" s="13"/>
      <c r="J461" s="13"/>
      <c r="K461" s="13"/>
      <c r="L461" s="13"/>
      <c r="M461" s="13"/>
      <c r="N461" s="13"/>
      <c r="O461" s="13"/>
    </row>
    <row r="462" spans="2:15" x14ac:dyDescent="0.2">
      <c r="B462" s="13"/>
      <c r="C462" s="13"/>
      <c r="D462" s="13"/>
      <c r="E462" s="13"/>
      <c r="F462" s="13"/>
      <c r="G462" s="13"/>
      <c r="H462" s="13"/>
      <c r="I462" s="13"/>
      <c r="J462" s="13"/>
      <c r="K462" s="13"/>
      <c r="L462" s="13"/>
      <c r="M462" s="13"/>
      <c r="N462" s="13"/>
      <c r="O462" s="13"/>
    </row>
    <row r="463" spans="2:15" x14ac:dyDescent="0.2">
      <c r="B463" s="13"/>
      <c r="C463" s="13"/>
      <c r="D463" s="13"/>
      <c r="E463" s="13"/>
      <c r="F463" s="13"/>
      <c r="G463" s="13"/>
      <c r="H463" s="13"/>
      <c r="I463" s="13"/>
      <c r="J463" s="13"/>
      <c r="K463" s="13"/>
      <c r="L463" s="13"/>
      <c r="M463" s="13"/>
      <c r="N463" s="13"/>
      <c r="O463" s="13"/>
    </row>
    <row r="464" spans="2:15" x14ac:dyDescent="0.2">
      <c r="B464" s="13"/>
      <c r="C464" s="13"/>
      <c r="D464" s="13"/>
      <c r="E464" s="13"/>
      <c r="F464" s="13"/>
      <c r="G464" s="13"/>
      <c r="H464" s="13"/>
      <c r="I464" s="13"/>
      <c r="J464" s="13"/>
      <c r="K464" s="13"/>
      <c r="L464" s="13"/>
      <c r="M464" s="13"/>
      <c r="N464" s="13"/>
      <c r="O464" s="13"/>
    </row>
    <row r="465" spans="2:15" x14ac:dyDescent="0.2">
      <c r="B465" s="13"/>
      <c r="C465" s="13"/>
      <c r="D465" s="13"/>
      <c r="E465" s="13"/>
      <c r="F465" s="13"/>
      <c r="G465" s="13"/>
      <c r="H465" s="13"/>
      <c r="I465" s="13"/>
      <c r="J465" s="13"/>
      <c r="K465" s="13"/>
      <c r="L465" s="13"/>
      <c r="M465" s="13"/>
      <c r="N465" s="13"/>
      <c r="O465" s="13"/>
    </row>
    <row r="466" spans="2:15" x14ac:dyDescent="0.2">
      <c r="B466" s="13"/>
      <c r="C466" s="13"/>
      <c r="D466" s="13"/>
      <c r="E466" s="13"/>
      <c r="F466" s="13"/>
      <c r="G466" s="13"/>
      <c r="H466" s="13"/>
      <c r="I466" s="13"/>
      <c r="J466" s="13"/>
      <c r="K466" s="13"/>
      <c r="L466" s="13"/>
      <c r="M466" s="13"/>
      <c r="N466" s="13"/>
      <c r="O466" s="13"/>
    </row>
    <row r="467" spans="2:15" x14ac:dyDescent="0.2">
      <c r="B467" s="13"/>
      <c r="C467" s="13"/>
      <c r="D467" s="13"/>
      <c r="E467" s="13"/>
      <c r="F467" s="13"/>
      <c r="G467" s="13"/>
      <c r="H467" s="13"/>
      <c r="I467" s="13"/>
      <c r="J467" s="13"/>
      <c r="K467" s="13"/>
      <c r="L467" s="13"/>
      <c r="M467" s="13"/>
      <c r="N467" s="13"/>
      <c r="O467" s="13"/>
    </row>
    <row r="468" spans="2:15" x14ac:dyDescent="0.2">
      <c r="B468" s="13"/>
      <c r="C468" s="13"/>
      <c r="D468" s="13"/>
      <c r="E468" s="13"/>
      <c r="F468" s="13"/>
      <c r="G468" s="13"/>
      <c r="H468" s="13"/>
      <c r="I468" s="13"/>
      <c r="J468" s="13"/>
      <c r="K468" s="13"/>
      <c r="L468" s="13"/>
      <c r="M468" s="13"/>
      <c r="N468" s="13"/>
      <c r="O468" s="13"/>
    </row>
    <row r="469" spans="2:15" x14ac:dyDescent="0.2">
      <c r="B469" s="13"/>
      <c r="C469" s="13"/>
      <c r="D469" s="13"/>
      <c r="E469" s="13"/>
      <c r="F469" s="13"/>
      <c r="G469" s="13"/>
      <c r="H469" s="13"/>
      <c r="I469" s="13"/>
      <c r="J469" s="13"/>
      <c r="K469" s="13"/>
      <c r="L469" s="13"/>
      <c r="M469" s="13"/>
      <c r="N469" s="13"/>
      <c r="O469" s="13"/>
    </row>
    <row r="470" spans="2:15" x14ac:dyDescent="0.2">
      <c r="B470" s="13"/>
      <c r="C470" s="13"/>
      <c r="D470" s="13"/>
      <c r="E470" s="13"/>
      <c r="F470" s="13"/>
      <c r="G470" s="13"/>
      <c r="H470" s="13"/>
      <c r="I470" s="13"/>
      <c r="J470" s="13"/>
      <c r="K470" s="13"/>
      <c r="L470" s="13"/>
      <c r="M470" s="13"/>
      <c r="N470" s="13"/>
      <c r="O470" s="13"/>
    </row>
    <row r="471" spans="2:15" x14ac:dyDescent="0.2">
      <c r="B471" s="13"/>
      <c r="C471" s="13"/>
      <c r="D471" s="13"/>
      <c r="E471" s="13"/>
      <c r="F471" s="13"/>
      <c r="G471" s="13"/>
      <c r="H471" s="13"/>
      <c r="I471" s="13"/>
      <c r="J471" s="13"/>
      <c r="K471" s="13"/>
      <c r="L471" s="13"/>
      <c r="M471" s="13"/>
      <c r="N471" s="13"/>
      <c r="O471" s="13"/>
    </row>
    <row r="472" spans="2:15" x14ac:dyDescent="0.2">
      <c r="B472" s="13"/>
      <c r="C472" s="13"/>
      <c r="D472" s="13"/>
      <c r="E472" s="13"/>
      <c r="F472" s="13"/>
      <c r="G472" s="13"/>
      <c r="H472" s="13"/>
      <c r="I472" s="13"/>
      <c r="J472" s="13"/>
      <c r="K472" s="13"/>
      <c r="L472" s="13"/>
      <c r="M472" s="13"/>
      <c r="N472" s="13"/>
      <c r="O472" s="13"/>
    </row>
    <row r="473" spans="2:15" x14ac:dyDescent="0.2">
      <c r="B473" s="13"/>
      <c r="C473" s="13"/>
      <c r="D473" s="13"/>
      <c r="E473" s="13"/>
      <c r="F473" s="13"/>
      <c r="G473" s="13"/>
      <c r="H473" s="13"/>
      <c r="I473" s="13"/>
      <c r="J473" s="13"/>
      <c r="K473" s="13"/>
      <c r="L473" s="13"/>
      <c r="M473" s="13"/>
      <c r="N473" s="13"/>
      <c r="O473" s="13"/>
    </row>
    <row r="474" spans="2:15" x14ac:dyDescent="0.2">
      <c r="B474" s="13"/>
      <c r="C474" s="13"/>
      <c r="D474" s="13"/>
      <c r="E474" s="13"/>
      <c r="F474" s="13"/>
      <c r="G474" s="13"/>
      <c r="H474" s="13"/>
      <c r="I474" s="13"/>
      <c r="J474" s="13"/>
      <c r="K474" s="13"/>
      <c r="L474" s="13"/>
      <c r="M474" s="13"/>
      <c r="N474" s="13"/>
      <c r="O474" s="13"/>
    </row>
    <row r="475" spans="2:15" x14ac:dyDescent="0.2">
      <c r="B475" s="13"/>
      <c r="C475" s="13"/>
      <c r="D475" s="13"/>
      <c r="E475" s="13"/>
      <c r="F475" s="13"/>
      <c r="G475" s="13"/>
      <c r="H475" s="13"/>
      <c r="I475" s="13"/>
      <c r="J475" s="13"/>
      <c r="K475" s="13"/>
      <c r="L475" s="13"/>
      <c r="M475" s="13"/>
      <c r="N475" s="13"/>
      <c r="O475" s="13"/>
    </row>
    <row r="476" spans="2:15" x14ac:dyDescent="0.2">
      <c r="B476" s="13"/>
      <c r="C476" s="13"/>
      <c r="D476" s="13"/>
      <c r="E476" s="13"/>
      <c r="F476" s="13"/>
      <c r="G476" s="13"/>
      <c r="H476" s="13"/>
      <c r="I476" s="13"/>
      <c r="J476" s="13"/>
      <c r="K476" s="13"/>
      <c r="L476" s="13"/>
      <c r="M476" s="13"/>
      <c r="N476" s="13"/>
      <c r="O476" s="13"/>
    </row>
    <row r="477" spans="2:15" x14ac:dyDescent="0.2">
      <c r="B477" s="13"/>
      <c r="C477" s="13"/>
      <c r="D477" s="13"/>
      <c r="E477" s="13"/>
      <c r="F477" s="13"/>
      <c r="G477" s="13"/>
      <c r="H477" s="13"/>
      <c r="I477" s="13"/>
      <c r="J477" s="13"/>
      <c r="K477" s="13"/>
      <c r="L477" s="13"/>
      <c r="M477" s="13"/>
      <c r="N477" s="13"/>
      <c r="O477" s="13"/>
    </row>
    <row r="478" spans="2:15" x14ac:dyDescent="0.2">
      <c r="B478" s="13"/>
      <c r="C478" s="13"/>
      <c r="D478" s="13"/>
      <c r="E478" s="13"/>
      <c r="F478" s="13"/>
      <c r="G478" s="13"/>
      <c r="H478" s="13"/>
      <c r="I478" s="13"/>
      <c r="J478" s="13"/>
      <c r="K478" s="13"/>
      <c r="L478" s="13"/>
      <c r="M478" s="13"/>
      <c r="N478" s="13"/>
      <c r="O478" s="13"/>
    </row>
    <row r="479" spans="2:15" x14ac:dyDescent="0.2">
      <c r="B479" s="13"/>
      <c r="C479" s="13"/>
      <c r="D479" s="13"/>
      <c r="E479" s="13"/>
      <c r="F479" s="13"/>
      <c r="G479" s="13"/>
      <c r="H479" s="13"/>
      <c r="I479" s="13"/>
      <c r="J479" s="13"/>
      <c r="K479" s="13"/>
      <c r="L479" s="13"/>
      <c r="M479" s="13"/>
      <c r="N479" s="13"/>
      <c r="O479" s="13"/>
    </row>
    <row r="480" spans="2:15" x14ac:dyDescent="0.2">
      <c r="B480" s="13"/>
      <c r="C480" s="13"/>
      <c r="D480" s="13"/>
      <c r="E480" s="13"/>
      <c r="F480" s="13"/>
      <c r="G480" s="13"/>
      <c r="H480" s="13"/>
      <c r="I480" s="13"/>
      <c r="J480" s="13"/>
      <c r="K480" s="13"/>
      <c r="L480" s="13"/>
      <c r="M480" s="13"/>
      <c r="N480" s="13"/>
      <c r="O480" s="13"/>
    </row>
    <row r="481" spans="2:15" x14ac:dyDescent="0.2">
      <c r="B481" s="13"/>
      <c r="C481" s="13"/>
      <c r="D481" s="13"/>
      <c r="E481" s="13"/>
      <c r="F481" s="13"/>
      <c r="G481" s="13"/>
      <c r="H481" s="13"/>
      <c r="I481" s="13"/>
      <c r="J481" s="13"/>
      <c r="K481" s="13"/>
      <c r="L481" s="13"/>
      <c r="M481" s="13"/>
      <c r="N481" s="13"/>
      <c r="O481" s="13"/>
    </row>
    <row r="482" spans="2:15" x14ac:dyDescent="0.2">
      <c r="B482" s="13"/>
      <c r="C482" s="13"/>
      <c r="D482" s="13"/>
      <c r="E482" s="13"/>
      <c r="F482" s="13"/>
      <c r="G482" s="13"/>
      <c r="H482" s="13"/>
      <c r="I482" s="13"/>
      <c r="J482" s="13"/>
      <c r="K482" s="13"/>
      <c r="L482" s="13"/>
      <c r="M482" s="13"/>
      <c r="N482" s="13"/>
      <c r="O482" s="13"/>
    </row>
    <row r="483" spans="2:15" x14ac:dyDescent="0.2">
      <c r="B483" s="13"/>
      <c r="C483" s="13"/>
      <c r="D483" s="13"/>
      <c r="E483" s="13"/>
      <c r="F483" s="13"/>
      <c r="G483" s="13"/>
      <c r="H483" s="13"/>
      <c r="I483" s="13"/>
      <c r="J483" s="13"/>
      <c r="K483" s="13"/>
      <c r="L483" s="13"/>
      <c r="M483" s="13"/>
      <c r="N483" s="13"/>
      <c r="O483" s="13"/>
    </row>
    <row r="484" spans="2:15" x14ac:dyDescent="0.2">
      <c r="B484" s="13"/>
      <c r="C484" s="13"/>
      <c r="D484" s="13"/>
      <c r="E484" s="13"/>
      <c r="F484" s="13"/>
      <c r="G484" s="13"/>
      <c r="H484" s="13"/>
      <c r="I484" s="13"/>
      <c r="J484" s="13"/>
      <c r="K484" s="13"/>
      <c r="L484" s="13"/>
      <c r="M484" s="13"/>
      <c r="N484" s="13"/>
      <c r="O484" s="13"/>
    </row>
    <row r="485" spans="2:15" x14ac:dyDescent="0.2">
      <c r="B485" s="13"/>
      <c r="C485" s="13"/>
      <c r="D485" s="13"/>
      <c r="E485" s="13"/>
      <c r="F485" s="13"/>
      <c r="G485" s="13"/>
      <c r="H485" s="13"/>
      <c r="I485" s="13"/>
      <c r="J485" s="13"/>
      <c r="K485" s="13"/>
      <c r="L485" s="13"/>
      <c r="M485" s="13"/>
      <c r="N485" s="13"/>
      <c r="O485" s="13"/>
    </row>
    <row r="486" spans="2:15" x14ac:dyDescent="0.2">
      <c r="B486" s="13"/>
      <c r="C486" s="13"/>
      <c r="D486" s="13"/>
      <c r="E486" s="13"/>
      <c r="F486" s="13"/>
      <c r="G486" s="13"/>
      <c r="H486" s="13"/>
      <c r="I486" s="13"/>
      <c r="J486" s="13"/>
      <c r="K486" s="13"/>
      <c r="L486" s="13"/>
      <c r="M486" s="13"/>
      <c r="N486" s="13"/>
      <c r="O486" s="13"/>
    </row>
    <row r="487" spans="2:15" x14ac:dyDescent="0.2">
      <c r="B487" s="13"/>
      <c r="C487" s="13"/>
      <c r="D487" s="13"/>
      <c r="E487" s="13"/>
      <c r="F487" s="13"/>
      <c r="G487" s="13"/>
      <c r="H487" s="13"/>
      <c r="I487" s="13"/>
      <c r="J487" s="13"/>
      <c r="K487" s="13"/>
      <c r="L487" s="13"/>
      <c r="M487" s="13"/>
      <c r="N487" s="13"/>
      <c r="O487" s="13"/>
    </row>
    <row r="488" spans="2:15" x14ac:dyDescent="0.2">
      <c r="B488" s="13"/>
      <c r="C488" s="13"/>
      <c r="D488" s="13"/>
      <c r="E488" s="13"/>
      <c r="F488" s="13"/>
      <c r="G488" s="13"/>
      <c r="H488" s="13"/>
      <c r="I488" s="13"/>
      <c r="J488" s="13"/>
      <c r="K488" s="13"/>
      <c r="L488" s="13"/>
      <c r="M488" s="13"/>
      <c r="N488" s="13"/>
      <c r="O488" s="13"/>
    </row>
    <row r="489" spans="2:15" x14ac:dyDescent="0.2">
      <c r="B489" s="13"/>
      <c r="C489" s="13"/>
      <c r="D489" s="13"/>
      <c r="E489" s="13"/>
      <c r="F489" s="13"/>
      <c r="G489" s="13"/>
      <c r="H489" s="13"/>
      <c r="I489" s="13"/>
      <c r="J489" s="13"/>
      <c r="K489" s="13"/>
      <c r="L489" s="13"/>
      <c r="M489" s="13"/>
      <c r="N489" s="13"/>
      <c r="O489" s="13"/>
    </row>
    <row r="490" spans="2:15" x14ac:dyDescent="0.2">
      <c r="B490" s="13"/>
      <c r="C490" s="13"/>
      <c r="D490" s="13"/>
      <c r="E490" s="13"/>
      <c r="F490" s="13"/>
      <c r="G490" s="13"/>
      <c r="H490" s="13"/>
      <c r="I490" s="13"/>
      <c r="J490" s="13"/>
      <c r="K490" s="13"/>
      <c r="L490" s="13"/>
      <c r="M490" s="13"/>
      <c r="N490" s="13"/>
      <c r="O490" s="13"/>
    </row>
    <row r="491" spans="2:15" x14ac:dyDescent="0.2">
      <c r="B491" s="13"/>
      <c r="C491" s="13"/>
      <c r="D491" s="13"/>
      <c r="E491" s="13"/>
      <c r="F491" s="13"/>
      <c r="G491" s="13"/>
      <c r="H491" s="13"/>
      <c r="I491" s="13"/>
      <c r="J491" s="13"/>
      <c r="K491" s="13"/>
      <c r="L491" s="13"/>
      <c r="M491" s="13"/>
      <c r="N491" s="13"/>
      <c r="O491" s="13"/>
    </row>
    <row r="492" spans="2:15" x14ac:dyDescent="0.2">
      <c r="B492" s="13"/>
      <c r="C492" s="13"/>
      <c r="D492" s="13"/>
      <c r="E492" s="13"/>
      <c r="F492" s="13"/>
      <c r="G492" s="13"/>
      <c r="H492" s="13"/>
      <c r="I492" s="13"/>
      <c r="J492" s="13"/>
      <c r="K492" s="13"/>
      <c r="L492" s="13"/>
      <c r="M492" s="13"/>
      <c r="N492" s="13"/>
      <c r="O492" s="13"/>
    </row>
    <row r="493" spans="2:15" x14ac:dyDescent="0.2">
      <c r="B493" s="13"/>
      <c r="C493" s="13"/>
      <c r="D493" s="13"/>
      <c r="E493" s="13"/>
      <c r="F493" s="13"/>
      <c r="G493" s="13"/>
      <c r="H493" s="13"/>
      <c r="I493" s="13"/>
      <c r="J493" s="13"/>
      <c r="K493" s="13"/>
      <c r="L493" s="13"/>
      <c r="M493" s="13"/>
      <c r="N493" s="13"/>
      <c r="O493" s="13"/>
    </row>
    <row r="494" spans="2:15" x14ac:dyDescent="0.2">
      <c r="B494" s="13"/>
      <c r="C494" s="13"/>
      <c r="D494" s="13"/>
      <c r="E494" s="13"/>
      <c r="F494" s="13"/>
      <c r="G494" s="13"/>
      <c r="H494" s="13"/>
      <c r="I494" s="13"/>
      <c r="J494" s="13"/>
      <c r="K494" s="13"/>
      <c r="L494" s="13"/>
      <c r="M494" s="13"/>
      <c r="N494" s="13"/>
      <c r="O494" s="13"/>
    </row>
    <row r="495" spans="2:15" x14ac:dyDescent="0.2">
      <c r="B495" s="13"/>
      <c r="C495" s="13"/>
      <c r="D495" s="13"/>
      <c r="E495" s="13"/>
      <c r="F495" s="13"/>
      <c r="G495" s="13"/>
      <c r="H495" s="13"/>
      <c r="I495" s="13"/>
      <c r="J495" s="13"/>
      <c r="K495" s="13"/>
      <c r="L495" s="13"/>
      <c r="M495" s="13"/>
      <c r="N495" s="13"/>
      <c r="O495" s="13"/>
    </row>
    <row r="496" spans="2:15" x14ac:dyDescent="0.2">
      <c r="B496" s="13"/>
      <c r="C496" s="13"/>
      <c r="D496" s="13"/>
      <c r="E496" s="13"/>
      <c r="F496" s="13"/>
      <c r="G496" s="13"/>
      <c r="H496" s="13"/>
      <c r="I496" s="13"/>
      <c r="J496" s="13"/>
      <c r="K496" s="13"/>
      <c r="L496" s="13"/>
      <c r="M496" s="13"/>
      <c r="N496" s="13"/>
      <c r="O496" s="13"/>
    </row>
    <row r="497" spans="2:15" x14ac:dyDescent="0.2">
      <c r="B497" s="13"/>
      <c r="C497" s="13"/>
      <c r="D497" s="13"/>
      <c r="E497" s="13"/>
      <c r="F497" s="13"/>
      <c r="G497" s="13"/>
      <c r="H497" s="13"/>
      <c r="I497" s="13"/>
      <c r="J497" s="13"/>
      <c r="K497" s="13"/>
      <c r="L497" s="13"/>
      <c r="M497" s="13"/>
      <c r="N497" s="13"/>
      <c r="O497" s="13"/>
    </row>
    <row r="498" spans="2:15" x14ac:dyDescent="0.2">
      <c r="B498" s="13"/>
      <c r="C498" s="13"/>
      <c r="D498" s="13"/>
      <c r="E498" s="13"/>
      <c r="F498" s="13"/>
      <c r="G498" s="13"/>
      <c r="H498" s="13"/>
      <c r="I498" s="13"/>
      <c r="J498" s="13"/>
      <c r="K498" s="13"/>
      <c r="L498" s="13"/>
      <c r="M498" s="13"/>
      <c r="N498" s="13"/>
      <c r="O498" s="13"/>
    </row>
    <row r="499" spans="2:15" x14ac:dyDescent="0.2">
      <c r="B499" s="13"/>
      <c r="C499" s="13"/>
      <c r="D499" s="13"/>
      <c r="E499" s="13"/>
      <c r="F499" s="13"/>
      <c r="G499" s="13"/>
      <c r="H499" s="13"/>
      <c r="I499" s="13"/>
      <c r="J499" s="13"/>
      <c r="K499" s="13"/>
      <c r="L499" s="13"/>
      <c r="M499" s="13"/>
      <c r="N499" s="13"/>
      <c r="O499" s="13"/>
    </row>
    <row r="500" spans="2:15" x14ac:dyDescent="0.2">
      <c r="B500" s="13"/>
      <c r="C500" s="13"/>
      <c r="D500" s="13"/>
      <c r="E500" s="13"/>
      <c r="F500" s="13"/>
      <c r="G500" s="13"/>
      <c r="H500" s="13"/>
      <c r="I500" s="13"/>
      <c r="J500" s="13"/>
      <c r="K500" s="13"/>
      <c r="L500" s="13"/>
      <c r="M500" s="13"/>
      <c r="N500" s="13"/>
      <c r="O500" s="13"/>
    </row>
    <row r="501" spans="2:15" x14ac:dyDescent="0.2">
      <c r="B501" s="13"/>
      <c r="C501" s="13"/>
      <c r="D501" s="13"/>
      <c r="E501" s="13"/>
      <c r="F501" s="13"/>
      <c r="G501" s="13"/>
      <c r="H501" s="13"/>
      <c r="I501" s="13"/>
      <c r="J501" s="13"/>
      <c r="K501" s="13"/>
      <c r="L501" s="13"/>
      <c r="M501" s="13"/>
      <c r="N501" s="13"/>
      <c r="O501" s="13"/>
    </row>
    <row r="502" spans="2:15" x14ac:dyDescent="0.2">
      <c r="B502" s="13"/>
      <c r="C502" s="13"/>
      <c r="D502" s="13"/>
      <c r="E502" s="13"/>
      <c r="F502" s="13"/>
      <c r="G502" s="13"/>
      <c r="H502" s="13"/>
      <c r="I502" s="13"/>
      <c r="J502" s="13"/>
      <c r="K502" s="13"/>
      <c r="L502" s="13"/>
      <c r="M502" s="13"/>
      <c r="N502" s="13"/>
      <c r="O502" s="13"/>
    </row>
    <row r="503" spans="2:15" x14ac:dyDescent="0.2">
      <c r="B503" s="13"/>
      <c r="C503" s="13"/>
      <c r="D503" s="13"/>
      <c r="E503" s="13"/>
      <c r="F503" s="13"/>
      <c r="G503" s="13"/>
      <c r="H503" s="13"/>
      <c r="I503" s="13"/>
      <c r="J503" s="13"/>
      <c r="K503" s="13"/>
      <c r="L503" s="13"/>
      <c r="M503" s="13"/>
      <c r="N503" s="13"/>
      <c r="O503" s="13"/>
    </row>
    <row r="504" spans="2:15" x14ac:dyDescent="0.2">
      <c r="B504" s="13"/>
      <c r="C504" s="13"/>
      <c r="D504" s="13"/>
      <c r="E504" s="13"/>
      <c r="F504" s="13"/>
      <c r="G504" s="13"/>
      <c r="H504" s="13"/>
      <c r="I504" s="13"/>
      <c r="J504" s="13"/>
      <c r="K504" s="13"/>
      <c r="L504" s="13"/>
      <c r="M504" s="13"/>
      <c r="N504" s="13"/>
      <c r="O504" s="13"/>
    </row>
    <row r="505" spans="2:15" x14ac:dyDescent="0.2">
      <c r="B505" s="13"/>
      <c r="C505" s="13"/>
      <c r="D505" s="13"/>
      <c r="E505" s="13"/>
      <c r="F505" s="13"/>
      <c r="G505" s="13"/>
      <c r="H505" s="13"/>
      <c r="I505" s="13"/>
      <c r="J505" s="13"/>
      <c r="K505" s="13"/>
      <c r="L505" s="13"/>
      <c r="M505" s="13"/>
      <c r="N505" s="13"/>
      <c r="O505" s="13"/>
    </row>
    <row r="506" spans="2:15" x14ac:dyDescent="0.2">
      <c r="B506" s="13"/>
      <c r="C506" s="13"/>
      <c r="D506" s="13"/>
      <c r="E506" s="13"/>
      <c r="F506" s="13"/>
      <c r="G506" s="13"/>
      <c r="H506" s="13"/>
      <c r="I506" s="13"/>
      <c r="J506" s="13"/>
      <c r="K506" s="13"/>
      <c r="L506" s="13"/>
      <c r="M506" s="13"/>
      <c r="N506" s="13"/>
      <c r="O506" s="13"/>
    </row>
    <row r="507" spans="2:15" x14ac:dyDescent="0.2">
      <c r="B507" s="13"/>
      <c r="C507" s="13"/>
      <c r="D507" s="13"/>
      <c r="E507" s="13"/>
      <c r="F507" s="13"/>
      <c r="G507" s="13"/>
      <c r="H507" s="13"/>
      <c r="I507" s="13"/>
      <c r="J507" s="13"/>
      <c r="K507" s="13"/>
      <c r="L507" s="13"/>
      <c r="M507" s="13"/>
      <c r="N507" s="13"/>
      <c r="O507" s="13"/>
    </row>
    <row r="508" spans="2:15" x14ac:dyDescent="0.2">
      <c r="B508" s="13"/>
      <c r="C508" s="13"/>
      <c r="D508" s="13"/>
      <c r="E508" s="13"/>
      <c r="F508" s="13"/>
      <c r="G508" s="13"/>
      <c r="H508" s="13"/>
      <c r="I508" s="13"/>
      <c r="J508" s="13"/>
      <c r="K508" s="13"/>
      <c r="L508" s="13"/>
      <c r="M508" s="13"/>
      <c r="N508" s="13"/>
      <c r="O508" s="13"/>
    </row>
    <row r="509" spans="2:15" x14ac:dyDescent="0.2">
      <c r="B509" s="13"/>
      <c r="C509" s="13"/>
      <c r="D509" s="13"/>
      <c r="E509" s="13"/>
      <c r="F509" s="13"/>
      <c r="G509" s="13"/>
      <c r="H509" s="13"/>
      <c r="I509" s="13"/>
      <c r="J509" s="13"/>
      <c r="K509" s="13"/>
      <c r="L509" s="13"/>
      <c r="M509" s="13"/>
      <c r="N509" s="13"/>
      <c r="O509" s="13"/>
    </row>
    <row r="510" spans="2:15" x14ac:dyDescent="0.2">
      <c r="B510" s="13"/>
      <c r="C510" s="13"/>
      <c r="D510" s="13"/>
      <c r="E510" s="13"/>
      <c r="F510" s="13"/>
      <c r="G510" s="13"/>
      <c r="H510" s="13"/>
      <c r="I510" s="13"/>
      <c r="J510" s="13"/>
      <c r="K510" s="13"/>
      <c r="L510" s="13"/>
      <c r="M510" s="13"/>
      <c r="N510" s="13"/>
      <c r="O510" s="13"/>
    </row>
  </sheetData>
  <mergeCells count="24">
    <mergeCell ref="C33:M33"/>
    <mergeCell ref="D24:M24"/>
    <mergeCell ref="D22:M22"/>
    <mergeCell ref="D20:M20"/>
    <mergeCell ref="A1:N1"/>
    <mergeCell ref="A2:N2"/>
    <mergeCell ref="D4:M4"/>
    <mergeCell ref="D5:M5"/>
    <mergeCell ref="D6:M6"/>
    <mergeCell ref="D12:M12"/>
    <mergeCell ref="B12:B24"/>
    <mergeCell ref="B9:B11"/>
    <mergeCell ref="D9:M9"/>
    <mergeCell ref="D10:M10"/>
    <mergeCell ref="D11:M11"/>
    <mergeCell ref="D23:L23"/>
    <mergeCell ref="D19:M19"/>
    <mergeCell ref="D21:M21"/>
    <mergeCell ref="D13:M13"/>
    <mergeCell ref="D15:M15"/>
    <mergeCell ref="D14:M14"/>
    <mergeCell ref="D17:M17"/>
    <mergeCell ref="D18:M18"/>
    <mergeCell ref="D16:M16"/>
  </mergeCells>
  <pageMargins left="0.25" right="0.25" top="0.5" bottom="0.5" header="0.3" footer="0.3"/>
  <pageSetup orientation="landscape" horizontalDpi="1200" verticalDpi="1200" r:id="rId1"/>
  <headerFooter>
    <oddFooter>Page &amp;P&amp;R&amp;F</oddFooter>
  </headerFooter>
  <rowBreaks count="1" manualBreakCount="1">
    <brk id="33"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A22" sqref="A22"/>
    </sheetView>
  </sheetViews>
  <sheetFormatPr defaultRowHeight="15" x14ac:dyDescent="0.25"/>
  <cols>
    <col min="1" max="1" width="31.28515625" customWidth="1"/>
    <col min="2" max="2" width="14.85546875" bestFit="1" customWidth="1"/>
    <col min="9" max="9" width="11.28515625" customWidth="1"/>
  </cols>
  <sheetData>
    <row r="1" spans="1:11" ht="20.25" x14ac:dyDescent="0.3">
      <c r="A1" s="205" t="s">
        <v>237</v>
      </c>
      <c r="B1" s="10"/>
      <c r="C1" s="10"/>
      <c r="D1" s="10"/>
      <c r="E1" s="10"/>
      <c r="F1" s="10"/>
      <c r="G1" s="10"/>
      <c r="H1" s="202" t="s">
        <v>270</v>
      </c>
      <c r="I1" s="3"/>
      <c r="J1" s="3"/>
      <c r="K1" s="3"/>
    </row>
    <row r="2" spans="1:11" ht="18" x14ac:dyDescent="0.25">
      <c r="A2" s="140" t="s">
        <v>42</v>
      </c>
      <c r="B2" s="3"/>
      <c r="C2" s="3"/>
      <c r="D2" s="3"/>
      <c r="E2" s="3"/>
      <c r="F2" s="3"/>
      <c r="G2" s="3"/>
      <c r="H2" s="3"/>
      <c r="I2" s="140" t="s">
        <v>76</v>
      </c>
      <c r="J2" s="3"/>
      <c r="K2" s="140" t="s">
        <v>45</v>
      </c>
    </row>
    <row r="3" spans="1:11" x14ac:dyDescent="0.25">
      <c r="A3" s="3"/>
      <c r="B3" s="3"/>
      <c r="C3" s="3"/>
      <c r="D3" s="3"/>
      <c r="E3" s="212"/>
      <c r="F3" s="3"/>
      <c r="G3" s="212"/>
      <c r="H3" s="3"/>
      <c r="I3" s="3"/>
      <c r="J3" s="3"/>
      <c r="K3" s="3"/>
    </row>
    <row r="4" spans="1:11" x14ac:dyDescent="0.25">
      <c r="A4" s="3"/>
      <c r="B4" s="208"/>
      <c r="C4" s="3"/>
      <c r="D4" s="3"/>
      <c r="E4" s="212"/>
      <c r="F4" s="3"/>
      <c r="G4" s="212"/>
      <c r="H4" s="3"/>
      <c r="I4" s="3"/>
      <c r="J4" s="3"/>
      <c r="K4" s="3"/>
    </row>
    <row r="5" spans="1:11" x14ac:dyDescent="0.25">
      <c r="A5" s="213" t="s">
        <v>271</v>
      </c>
      <c r="B5" s="206" t="s">
        <v>0</v>
      </c>
      <c r="C5" s="213" t="s">
        <v>83</v>
      </c>
      <c r="D5" s="213" t="s">
        <v>140</v>
      </c>
      <c r="E5" s="212"/>
      <c r="F5" s="3"/>
      <c r="G5" s="212"/>
      <c r="H5" s="3"/>
      <c r="I5" s="3"/>
      <c r="J5" s="3"/>
      <c r="K5" s="3"/>
    </row>
    <row r="6" spans="1:11" x14ac:dyDescent="0.25">
      <c r="A6" s="128" t="s">
        <v>272</v>
      </c>
      <c r="B6" s="3">
        <v>104</v>
      </c>
      <c r="C6" s="128" t="s">
        <v>273</v>
      </c>
      <c r="D6" s="128" t="s">
        <v>276</v>
      </c>
      <c r="E6" s="3"/>
      <c r="F6" s="3"/>
      <c r="G6" s="3"/>
      <c r="H6" s="3"/>
      <c r="I6" s="211" t="s">
        <v>403</v>
      </c>
      <c r="J6" s="3"/>
      <c r="K6" s="128"/>
    </row>
    <row r="7" spans="1:11" x14ac:dyDescent="0.25">
      <c r="A7" s="128" t="s">
        <v>404</v>
      </c>
      <c r="B7" s="214">
        <v>486296</v>
      </c>
      <c r="C7" s="128" t="s">
        <v>274</v>
      </c>
      <c r="D7" s="128"/>
      <c r="E7" s="3"/>
      <c r="F7" s="3"/>
      <c r="G7" s="3"/>
      <c r="H7" s="128"/>
      <c r="I7" s="215">
        <v>4</v>
      </c>
      <c r="J7" s="3"/>
      <c r="K7" s="3"/>
    </row>
    <row r="8" spans="1:11" x14ac:dyDescent="0.25">
      <c r="A8" s="128" t="s">
        <v>404</v>
      </c>
      <c r="B8" s="214">
        <f>B7*1000*Conversions!D4</f>
        <v>441160310323.04004</v>
      </c>
      <c r="C8" s="128" t="s">
        <v>57</v>
      </c>
      <c r="D8" s="128"/>
      <c r="E8" s="3"/>
      <c r="F8" s="3"/>
      <c r="G8" s="3"/>
      <c r="H8" s="128"/>
      <c r="I8" s="3"/>
      <c r="J8" s="3"/>
      <c r="K8" s="3"/>
    </row>
    <row r="9" spans="1:11" x14ac:dyDescent="0.25">
      <c r="A9" s="126" t="s">
        <v>272</v>
      </c>
      <c r="B9" s="126">
        <f>B6*Conversions!D4/$B$8</f>
        <v>2.1386151644266043E-7</v>
      </c>
      <c r="C9" s="126" t="s">
        <v>275</v>
      </c>
      <c r="D9" s="128" t="s">
        <v>277</v>
      </c>
      <c r="E9" s="3"/>
      <c r="F9" s="3"/>
      <c r="G9" s="3"/>
      <c r="H9" s="3"/>
      <c r="I9" s="3"/>
      <c r="J9" s="3"/>
      <c r="K9" s="211">
        <v>8</v>
      </c>
    </row>
    <row r="10" spans="1:11" x14ac:dyDescent="0.25">
      <c r="A10" s="231" t="s">
        <v>834</v>
      </c>
      <c r="B10" s="399">
        <f>B9/'Strip Ratio'!B8</f>
        <v>4.2772303288532087E-8</v>
      </c>
      <c r="C10" s="126"/>
      <c r="D10" s="128"/>
      <c r="E10" s="3"/>
      <c r="F10" s="3"/>
      <c r="G10" s="3"/>
      <c r="H10" s="3"/>
      <c r="I10" s="3"/>
      <c r="J10" s="3"/>
      <c r="K10" s="211"/>
    </row>
    <row r="11" spans="1:11" x14ac:dyDescent="0.25">
      <c r="A11" s="231" t="s">
        <v>835</v>
      </c>
      <c r="B11" s="399">
        <f>B9-B10</f>
        <v>1.7108921315412835E-7</v>
      </c>
      <c r="C11" s="126"/>
      <c r="D11" s="128"/>
      <c r="E11" s="3"/>
      <c r="F11" s="3"/>
      <c r="G11" s="3"/>
      <c r="H11" s="3"/>
      <c r="I11" s="3"/>
      <c r="J11" s="3"/>
      <c r="K11" s="211"/>
    </row>
    <row r="14" spans="1:11" x14ac:dyDescent="0.25">
      <c r="H14" s="24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94"/>
  <sheetViews>
    <sheetView zoomScaleNormal="100" workbookViewId="0">
      <selection activeCell="G1" sqref="G1:H1048576"/>
    </sheetView>
  </sheetViews>
  <sheetFormatPr defaultRowHeight="12.75" x14ac:dyDescent="0.2"/>
  <cols>
    <col min="1" max="1" width="59.28515625" style="125" customWidth="1"/>
    <col min="2" max="3" width="11" style="125" customWidth="1"/>
    <col min="4" max="4" width="16.28515625" style="125" bestFit="1" customWidth="1"/>
    <col min="5" max="5" width="11.5703125" style="125" customWidth="1"/>
    <col min="6" max="6" width="20" style="125" customWidth="1"/>
    <col min="7" max="7" width="30.7109375" style="134" customWidth="1"/>
    <col min="8" max="8" width="14" style="134" customWidth="1"/>
    <col min="9" max="9" width="19" style="180" customWidth="1"/>
    <col min="10" max="256" width="9.140625" style="125"/>
    <col min="257" max="257" width="25.85546875" style="125" customWidth="1"/>
    <col min="258" max="259" width="11" style="125" customWidth="1"/>
    <col min="260" max="260" width="22.85546875" style="125" customWidth="1"/>
    <col min="261" max="262" width="11" style="125" customWidth="1"/>
    <col min="263" max="264" width="9.140625" style="125" customWidth="1"/>
    <col min="265" max="265" width="19" style="125" customWidth="1"/>
    <col min="266" max="512" width="9.140625" style="125"/>
    <col min="513" max="513" width="25.85546875" style="125" customWidth="1"/>
    <col min="514" max="515" width="11" style="125" customWidth="1"/>
    <col min="516" max="516" width="22.85546875" style="125" customWidth="1"/>
    <col min="517" max="518" width="11" style="125" customWidth="1"/>
    <col min="519" max="520" width="9.140625" style="125" customWidth="1"/>
    <col min="521" max="521" width="19" style="125" customWidth="1"/>
    <col min="522" max="768" width="9.140625" style="125"/>
    <col min="769" max="769" width="25.85546875" style="125" customWidth="1"/>
    <col min="770" max="771" width="11" style="125" customWidth="1"/>
    <col min="772" max="772" width="22.85546875" style="125" customWidth="1"/>
    <col min="773" max="774" width="11" style="125" customWidth="1"/>
    <col min="775" max="776" width="9.140625" style="125" customWidth="1"/>
    <col min="777" max="777" width="19" style="125" customWidth="1"/>
    <col min="778" max="1024" width="9.140625" style="125"/>
    <col min="1025" max="1025" width="25.85546875" style="125" customWidth="1"/>
    <col min="1026" max="1027" width="11" style="125" customWidth="1"/>
    <col min="1028" max="1028" width="22.85546875" style="125" customWidth="1"/>
    <col min="1029" max="1030" width="11" style="125" customWidth="1"/>
    <col min="1031" max="1032" width="9.140625" style="125" customWidth="1"/>
    <col min="1033" max="1033" width="19" style="125" customWidth="1"/>
    <col min="1034" max="1280" width="9.140625" style="125"/>
    <col min="1281" max="1281" width="25.85546875" style="125" customWidth="1"/>
    <col min="1282" max="1283" width="11" style="125" customWidth="1"/>
    <col min="1284" max="1284" width="22.85546875" style="125" customWidth="1"/>
    <col min="1285" max="1286" width="11" style="125" customWidth="1"/>
    <col min="1287" max="1288" width="9.140625" style="125" customWidth="1"/>
    <col min="1289" max="1289" width="19" style="125" customWidth="1"/>
    <col min="1290" max="1536" width="9.140625" style="125"/>
    <col min="1537" max="1537" width="25.85546875" style="125" customWidth="1"/>
    <col min="1538" max="1539" width="11" style="125" customWidth="1"/>
    <col min="1540" max="1540" width="22.85546875" style="125" customWidth="1"/>
    <col min="1541" max="1542" width="11" style="125" customWidth="1"/>
    <col min="1543" max="1544" width="9.140625" style="125" customWidth="1"/>
    <col min="1545" max="1545" width="19" style="125" customWidth="1"/>
    <col min="1546" max="1792" width="9.140625" style="125"/>
    <col min="1793" max="1793" width="25.85546875" style="125" customWidth="1"/>
    <col min="1794" max="1795" width="11" style="125" customWidth="1"/>
    <col min="1796" max="1796" width="22.85546875" style="125" customWidth="1"/>
    <col min="1797" max="1798" width="11" style="125" customWidth="1"/>
    <col min="1799" max="1800" width="9.140625" style="125" customWidth="1"/>
    <col min="1801" max="1801" width="19" style="125" customWidth="1"/>
    <col min="1802" max="2048" width="9.140625" style="125"/>
    <col min="2049" max="2049" width="25.85546875" style="125" customWidth="1"/>
    <col min="2050" max="2051" width="11" style="125" customWidth="1"/>
    <col min="2052" max="2052" width="22.85546875" style="125" customWidth="1"/>
    <col min="2053" max="2054" width="11" style="125" customWidth="1"/>
    <col min="2055" max="2056" width="9.140625" style="125" customWidth="1"/>
    <col min="2057" max="2057" width="19" style="125" customWidth="1"/>
    <col min="2058" max="2304" width="9.140625" style="125"/>
    <col min="2305" max="2305" width="25.85546875" style="125" customWidth="1"/>
    <col min="2306" max="2307" width="11" style="125" customWidth="1"/>
    <col min="2308" max="2308" width="22.85546875" style="125" customWidth="1"/>
    <col min="2309" max="2310" width="11" style="125" customWidth="1"/>
    <col min="2311" max="2312" width="9.140625" style="125" customWidth="1"/>
    <col min="2313" max="2313" width="19" style="125" customWidth="1"/>
    <col min="2314" max="2560" width="9.140625" style="125"/>
    <col min="2561" max="2561" width="25.85546875" style="125" customWidth="1"/>
    <col min="2562" max="2563" width="11" style="125" customWidth="1"/>
    <col min="2564" max="2564" width="22.85546875" style="125" customWidth="1"/>
    <col min="2565" max="2566" width="11" style="125" customWidth="1"/>
    <col min="2567" max="2568" width="9.140625" style="125" customWidth="1"/>
    <col min="2569" max="2569" width="19" style="125" customWidth="1"/>
    <col min="2570" max="2816" width="9.140625" style="125"/>
    <col min="2817" max="2817" width="25.85546875" style="125" customWidth="1"/>
    <col min="2818" max="2819" width="11" style="125" customWidth="1"/>
    <col min="2820" max="2820" width="22.85546875" style="125" customWidth="1"/>
    <col min="2821" max="2822" width="11" style="125" customWidth="1"/>
    <col min="2823" max="2824" width="9.140625" style="125" customWidth="1"/>
    <col min="2825" max="2825" width="19" style="125" customWidth="1"/>
    <col min="2826" max="3072" width="9.140625" style="125"/>
    <col min="3073" max="3073" width="25.85546875" style="125" customWidth="1"/>
    <col min="3074" max="3075" width="11" style="125" customWidth="1"/>
    <col min="3076" max="3076" width="22.85546875" style="125" customWidth="1"/>
    <col min="3077" max="3078" width="11" style="125" customWidth="1"/>
    <col min="3079" max="3080" width="9.140625" style="125" customWidth="1"/>
    <col min="3081" max="3081" width="19" style="125" customWidth="1"/>
    <col min="3082" max="3328" width="9.140625" style="125"/>
    <col min="3329" max="3329" width="25.85546875" style="125" customWidth="1"/>
    <col min="3330" max="3331" width="11" style="125" customWidth="1"/>
    <col min="3332" max="3332" width="22.85546875" style="125" customWidth="1"/>
    <col min="3333" max="3334" width="11" style="125" customWidth="1"/>
    <col min="3335" max="3336" width="9.140625" style="125" customWidth="1"/>
    <col min="3337" max="3337" width="19" style="125" customWidth="1"/>
    <col min="3338" max="3584" width="9.140625" style="125"/>
    <col min="3585" max="3585" width="25.85546875" style="125" customWidth="1"/>
    <col min="3586" max="3587" width="11" style="125" customWidth="1"/>
    <col min="3588" max="3588" width="22.85546875" style="125" customWidth="1"/>
    <col min="3589" max="3590" width="11" style="125" customWidth="1"/>
    <col min="3591" max="3592" width="9.140625" style="125" customWidth="1"/>
    <col min="3593" max="3593" width="19" style="125" customWidth="1"/>
    <col min="3594" max="3840" width="9.140625" style="125"/>
    <col min="3841" max="3841" width="25.85546875" style="125" customWidth="1"/>
    <col min="3842" max="3843" width="11" style="125" customWidth="1"/>
    <col min="3844" max="3844" width="22.85546875" style="125" customWidth="1"/>
    <col min="3845" max="3846" width="11" style="125" customWidth="1"/>
    <col min="3847" max="3848" width="9.140625" style="125" customWidth="1"/>
    <col min="3849" max="3849" width="19" style="125" customWidth="1"/>
    <col min="3850" max="4096" width="9.140625" style="125"/>
    <col min="4097" max="4097" width="25.85546875" style="125" customWidth="1"/>
    <col min="4098" max="4099" width="11" style="125" customWidth="1"/>
    <col min="4100" max="4100" width="22.85546875" style="125" customWidth="1"/>
    <col min="4101" max="4102" width="11" style="125" customWidth="1"/>
    <col min="4103" max="4104" width="9.140625" style="125" customWidth="1"/>
    <col min="4105" max="4105" width="19" style="125" customWidth="1"/>
    <col min="4106" max="4352" width="9.140625" style="125"/>
    <col min="4353" max="4353" width="25.85546875" style="125" customWidth="1"/>
    <col min="4354" max="4355" width="11" style="125" customWidth="1"/>
    <col min="4356" max="4356" width="22.85546875" style="125" customWidth="1"/>
    <col min="4357" max="4358" width="11" style="125" customWidth="1"/>
    <col min="4359" max="4360" width="9.140625" style="125" customWidth="1"/>
    <col min="4361" max="4361" width="19" style="125" customWidth="1"/>
    <col min="4362" max="4608" width="9.140625" style="125"/>
    <col min="4609" max="4609" width="25.85546875" style="125" customWidth="1"/>
    <col min="4610" max="4611" width="11" style="125" customWidth="1"/>
    <col min="4612" max="4612" width="22.85546875" style="125" customWidth="1"/>
    <col min="4613" max="4614" width="11" style="125" customWidth="1"/>
    <col min="4615" max="4616" width="9.140625" style="125" customWidth="1"/>
    <col min="4617" max="4617" width="19" style="125" customWidth="1"/>
    <col min="4618" max="4864" width="9.140625" style="125"/>
    <col min="4865" max="4865" width="25.85546875" style="125" customWidth="1"/>
    <col min="4866" max="4867" width="11" style="125" customWidth="1"/>
    <col min="4868" max="4868" width="22.85546875" style="125" customWidth="1"/>
    <col min="4869" max="4870" width="11" style="125" customWidth="1"/>
    <col min="4871" max="4872" width="9.140625" style="125" customWidth="1"/>
    <col min="4873" max="4873" width="19" style="125" customWidth="1"/>
    <col min="4874" max="5120" width="9.140625" style="125"/>
    <col min="5121" max="5121" width="25.85546875" style="125" customWidth="1"/>
    <col min="5122" max="5123" width="11" style="125" customWidth="1"/>
    <col min="5124" max="5124" width="22.85546875" style="125" customWidth="1"/>
    <col min="5125" max="5126" width="11" style="125" customWidth="1"/>
    <col min="5127" max="5128" width="9.140625" style="125" customWidth="1"/>
    <col min="5129" max="5129" width="19" style="125" customWidth="1"/>
    <col min="5130" max="5376" width="9.140625" style="125"/>
    <col min="5377" max="5377" width="25.85546875" style="125" customWidth="1"/>
    <col min="5378" max="5379" width="11" style="125" customWidth="1"/>
    <col min="5380" max="5380" width="22.85546875" style="125" customWidth="1"/>
    <col min="5381" max="5382" width="11" style="125" customWidth="1"/>
    <col min="5383" max="5384" width="9.140625" style="125" customWidth="1"/>
    <col min="5385" max="5385" width="19" style="125" customWidth="1"/>
    <col min="5386" max="5632" width="9.140625" style="125"/>
    <col min="5633" max="5633" width="25.85546875" style="125" customWidth="1"/>
    <col min="5634" max="5635" width="11" style="125" customWidth="1"/>
    <col min="5636" max="5636" width="22.85546875" style="125" customWidth="1"/>
    <col min="5637" max="5638" width="11" style="125" customWidth="1"/>
    <col min="5639" max="5640" width="9.140625" style="125" customWidth="1"/>
    <col min="5641" max="5641" width="19" style="125" customWidth="1"/>
    <col min="5642" max="5888" width="9.140625" style="125"/>
    <col min="5889" max="5889" width="25.85546875" style="125" customWidth="1"/>
    <col min="5890" max="5891" width="11" style="125" customWidth="1"/>
    <col min="5892" max="5892" width="22.85546875" style="125" customWidth="1"/>
    <col min="5893" max="5894" width="11" style="125" customWidth="1"/>
    <col min="5895" max="5896" width="9.140625" style="125" customWidth="1"/>
    <col min="5897" max="5897" width="19" style="125" customWidth="1"/>
    <col min="5898" max="6144" width="9.140625" style="125"/>
    <col min="6145" max="6145" width="25.85546875" style="125" customWidth="1"/>
    <col min="6146" max="6147" width="11" style="125" customWidth="1"/>
    <col min="6148" max="6148" width="22.85546875" style="125" customWidth="1"/>
    <col min="6149" max="6150" width="11" style="125" customWidth="1"/>
    <col min="6151" max="6152" width="9.140625" style="125" customWidth="1"/>
    <col min="6153" max="6153" width="19" style="125" customWidth="1"/>
    <col min="6154" max="6400" width="9.140625" style="125"/>
    <col min="6401" max="6401" width="25.85546875" style="125" customWidth="1"/>
    <col min="6402" max="6403" width="11" style="125" customWidth="1"/>
    <col min="6404" max="6404" width="22.85546875" style="125" customWidth="1"/>
    <col min="6405" max="6406" width="11" style="125" customWidth="1"/>
    <col min="6407" max="6408" width="9.140625" style="125" customWidth="1"/>
    <col min="6409" max="6409" width="19" style="125" customWidth="1"/>
    <col min="6410" max="6656" width="9.140625" style="125"/>
    <col min="6657" max="6657" width="25.85546875" style="125" customWidth="1"/>
    <col min="6658" max="6659" width="11" style="125" customWidth="1"/>
    <col min="6660" max="6660" width="22.85546875" style="125" customWidth="1"/>
    <col min="6661" max="6662" width="11" style="125" customWidth="1"/>
    <col min="6663" max="6664" width="9.140625" style="125" customWidth="1"/>
    <col min="6665" max="6665" width="19" style="125" customWidth="1"/>
    <col min="6666" max="6912" width="9.140625" style="125"/>
    <col min="6913" max="6913" width="25.85546875" style="125" customWidth="1"/>
    <col min="6914" max="6915" width="11" style="125" customWidth="1"/>
    <col min="6916" max="6916" width="22.85546875" style="125" customWidth="1"/>
    <col min="6917" max="6918" width="11" style="125" customWidth="1"/>
    <col min="6919" max="6920" width="9.140625" style="125" customWidth="1"/>
    <col min="6921" max="6921" width="19" style="125" customWidth="1"/>
    <col min="6922" max="7168" width="9.140625" style="125"/>
    <col min="7169" max="7169" width="25.85546875" style="125" customWidth="1"/>
    <col min="7170" max="7171" width="11" style="125" customWidth="1"/>
    <col min="7172" max="7172" width="22.85546875" style="125" customWidth="1"/>
    <col min="7173" max="7174" width="11" style="125" customWidth="1"/>
    <col min="7175" max="7176" width="9.140625" style="125" customWidth="1"/>
    <col min="7177" max="7177" width="19" style="125" customWidth="1"/>
    <col min="7178" max="7424" width="9.140625" style="125"/>
    <col min="7425" max="7425" width="25.85546875" style="125" customWidth="1"/>
    <col min="7426" max="7427" width="11" style="125" customWidth="1"/>
    <col min="7428" max="7428" width="22.85546875" style="125" customWidth="1"/>
    <col min="7429" max="7430" width="11" style="125" customWidth="1"/>
    <col min="7431" max="7432" width="9.140625" style="125" customWidth="1"/>
    <col min="7433" max="7433" width="19" style="125" customWidth="1"/>
    <col min="7434" max="7680" width="9.140625" style="125"/>
    <col min="7681" max="7681" width="25.85546875" style="125" customWidth="1"/>
    <col min="7682" max="7683" width="11" style="125" customWidth="1"/>
    <col min="7684" max="7684" width="22.85546875" style="125" customWidth="1"/>
    <col min="7685" max="7686" width="11" style="125" customWidth="1"/>
    <col min="7687" max="7688" width="9.140625" style="125" customWidth="1"/>
    <col min="7689" max="7689" width="19" style="125" customWidth="1"/>
    <col min="7690" max="7936" width="9.140625" style="125"/>
    <col min="7937" max="7937" width="25.85546875" style="125" customWidth="1"/>
    <col min="7938" max="7939" width="11" style="125" customWidth="1"/>
    <col min="7940" max="7940" width="22.85546875" style="125" customWidth="1"/>
    <col min="7941" max="7942" width="11" style="125" customWidth="1"/>
    <col min="7943" max="7944" width="9.140625" style="125" customWidth="1"/>
    <col min="7945" max="7945" width="19" style="125" customWidth="1"/>
    <col min="7946" max="8192" width="9.140625" style="125"/>
    <col min="8193" max="8193" width="25.85546875" style="125" customWidth="1"/>
    <col min="8194" max="8195" width="11" style="125" customWidth="1"/>
    <col min="8196" max="8196" width="22.85546875" style="125" customWidth="1"/>
    <col min="8197" max="8198" width="11" style="125" customWidth="1"/>
    <col min="8199" max="8200" width="9.140625" style="125" customWidth="1"/>
    <col min="8201" max="8201" width="19" style="125" customWidth="1"/>
    <col min="8202" max="8448" width="9.140625" style="125"/>
    <col min="8449" max="8449" width="25.85546875" style="125" customWidth="1"/>
    <col min="8450" max="8451" width="11" style="125" customWidth="1"/>
    <col min="8452" max="8452" width="22.85546875" style="125" customWidth="1"/>
    <col min="8453" max="8454" width="11" style="125" customWidth="1"/>
    <col min="8455" max="8456" width="9.140625" style="125" customWidth="1"/>
    <col min="8457" max="8457" width="19" style="125" customWidth="1"/>
    <col min="8458" max="8704" width="9.140625" style="125"/>
    <col min="8705" max="8705" width="25.85546875" style="125" customWidth="1"/>
    <col min="8706" max="8707" width="11" style="125" customWidth="1"/>
    <col min="8708" max="8708" width="22.85546875" style="125" customWidth="1"/>
    <col min="8709" max="8710" width="11" style="125" customWidth="1"/>
    <col min="8711" max="8712" width="9.140625" style="125" customWidth="1"/>
    <col min="8713" max="8713" width="19" style="125" customWidth="1"/>
    <col min="8714" max="8960" width="9.140625" style="125"/>
    <col min="8961" max="8961" width="25.85546875" style="125" customWidth="1"/>
    <col min="8962" max="8963" width="11" style="125" customWidth="1"/>
    <col min="8964" max="8964" width="22.85546875" style="125" customWidth="1"/>
    <col min="8965" max="8966" width="11" style="125" customWidth="1"/>
    <col min="8967" max="8968" width="9.140625" style="125" customWidth="1"/>
    <col min="8969" max="8969" width="19" style="125" customWidth="1"/>
    <col min="8970" max="9216" width="9.140625" style="125"/>
    <col min="9217" max="9217" width="25.85546875" style="125" customWidth="1"/>
    <col min="9218" max="9219" width="11" style="125" customWidth="1"/>
    <col min="9220" max="9220" width="22.85546875" style="125" customWidth="1"/>
    <col min="9221" max="9222" width="11" style="125" customWidth="1"/>
    <col min="9223" max="9224" width="9.140625" style="125" customWidth="1"/>
    <col min="9225" max="9225" width="19" style="125" customWidth="1"/>
    <col min="9226" max="9472" width="9.140625" style="125"/>
    <col min="9473" max="9473" width="25.85546875" style="125" customWidth="1"/>
    <col min="9474" max="9475" width="11" style="125" customWidth="1"/>
    <col min="9476" max="9476" width="22.85546875" style="125" customWidth="1"/>
    <col min="9477" max="9478" width="11" style="125" customWidth="1"/>
    <col min="9479" max="9480" width="9.140625" style="125" customWidth="1"/>
    <col min="9481" max="9481" width="19" style="125" customWidth="1"/>
    <col min="9482" max="9728" width="9.140625" style="125"/>
    <col min="9729" max="9729" width="25.85546875" style="125" customWidth="1"/>
    <col min="9730" max="9731" width="11" style="125" customWidth="1"/>
    <col min="9732" max="9732" width="22.85546875" style="125" customWidth="1"/>
    <col min="9733" max="9734" width="11" style="125" customWidth="1"/>
    <col min="9735" max="9736" width="9.140625" style="125" customWidth="1"/>
    <col min="9737" max="9737" width="19" style="125" customWidth="1"/>
    <col min="9738" max="9984" width="9.140625" style="125"/>
    <col min="9985" max="9985" width="25.85546875" style="125" customWidth="1"/>
    <col min="9986" max="9987" width="11" style="125" customWidth="1"/>
    <col min="9988" max="9988" width="22.85546875" style="125" customWidth="1"/>
    <col min="9989" max="9990" width="11" style="125" customWidth="1"/>
    <col min="9991" max="9992" width="9.140625" style="125" customWidth="1"/>
    <col min="9993" max="9993" width="19" style="125" customWidth="1"/>
    <col min="9994" max="10240" width="9.140625" style="125"/>
    <col min="10241" max="10241" width="25.85546875" style="125" customWidth="1"/>
    <col min="10242" max="10243" width="11" style="125" customWidth="1"/>
    <col min="10244" max="10244" width="22.85546875" style="125" customWidth="1"/>
    <col min="10245" max="10246" width="11" style="125" customWidth="1"/>
    <col min="10247" max="10248" width="9.140625" style="125" customWidth="1"/>
    <col min="10249" max="10249" width="19" style="125" customWidth="1"/>
    <col min="10250" max="10496" width="9.140625" style="125"/>
    <col min="10497" max="10497" width="25.85546875" style="125" customWidth="1"/>
    <col min="10498" max="10499" width="11" style="125" customWidth="1"/>
    <col min="10500" max="10500" width="22.85546875" style="125" customWidth="1"/>
    <col min="10501" max="10502" width="11" style="125" customWidth="1"/>
    <col min="10503" max="10504" width="9.140625" style="125" customWidth="1"/>
    <col min="10505" max="10505" width="19" style="125" customWidth="1"/>
    <col min="10506" max="10752" width="9.140625" style="125"/>
    <col min="10753" max="10753" width="25.85546875" style="125" customWidth="1"/>
    <col min="10754" max="10755" width="11" style="125" customWidth="1"/>
    <col min="10756" max="10756" width="22.85546875" style="125" customWidth="1"/>
    <col min="10757" max="10758" width="11" style="125" customWidth="1"/>
    <col min="10759" max="10760" width="9.140625" style="125" customWidth="1"/>
    <col min="10761" max="10761" width="19" style="125" customWidth="1"/>
    <col min="10762" max="11008" width="9.140625" style="125"/>
    <col min="11009" max="11009" width="25.85546875" style="125" customWidth="1"/>
    <col min="11010" max="11011" width="11" style="125" customWidth="1"/>
    <col min="11012" max="11012" width="22.85546875" style="125" customWidth="1"/>
    <col min="11013" max="11014" width="11" style="125" customWidth="1"/>
    <col min="11015" max="11016" width="9.140625" style="125" customWidth="1"/>
    <col min="11017" max="11017" width="19" style="125" customWidth="1"/>
    <col min="11018" max="11264" width="9.140625" style="125"/>
    <col min="11265" max="11265" width="25.85546875" style="125" customWidth="1"/>
    <col min="11266" max="11267" width="11" style="125" customWidth="1"/>
    <col min="11268" max="11268" width="22.85546875" style="125" customWidth="1"/>
    <col min="11269" max="11270" width="11" style="125" customWidth="1"/>
    <col min="11271" max="11272" width="9.140625" style="125" customWidth="1"/>
    <col min="11273" max="11273" width="19" style="125" customWidth="1"/>
    <col min="11274" max="11520" width="9.140625" style="125"/>
    <col min="11521" max="11521" width="25.85546875" style="125" customWidth="1"/>
    <col min="11522" max="11523" width="11" style="125" customWidth="1"/>
    <col min="11524" max="11524" width="22.85546875" style="125" customWidth="1"/>
    <col min="11525" max="11526" width="11" style="125" customWidth="1"/>
    <col min="11527" max="11528" width="9.140625" style="125" customWidth="1"/>
    <col min="11529" max="11529" width="19" style="125" customWidth="1"/>
    <col min="11530" max="11776" width="9.140625" style="125"/>
    <col min="11777" max="11777" width="25.85546875" style="125" customWidth="1"/>
    <col min="11778" max="11779" width="11" style="125" customWidth="1"/>
    <col min="11780" max="11780" width="22.85546875" style="125" customWidth="1"/>
    <col min="11781" max="11782" width="11" style="125" customWidth="1"/>
    <col min="11783" max="11784" width="9.140625" style="125" customWidth="1"/>
    <col min="11785" max="11785" width="19" style="125" customWidth="1"/>
    <col min="11786" max="12032" width="9.140625" style="125"/>
    <col min="12033" max="12033" width="25.85546875" style="125" customWidth="1"/>
    <col min="12034" max="12035" width="11" style="125" customWidth="1"/>
    <col min="12036" max="12036" width="22.85546875" style="125" customWidth="1"/>
    <col min="12037" max="12038" width="11" style="125" customWidth="1"/>
    <col min="12039" max="12040" width="9.140625" style="125" customWidth="1"/>
    <col min="12041" max="12041" width="19" style="125" customWidth="1"/>
    <col min="12042" max="12288" width="9.140625" style="125"/>
    <col min="12289" max="12289" width="25.85546875" style="125" customWidth="1"/>
    <col min="12290" max="12291" width="11" style="125" customWidth="1"/>
    <col min="12292" max="12292" width="22.85546875" style="125" customWidth="1"/>
    <col min="12293" max="12294" width="11" style="125" customWidth="1"/>
    <col min="12295" max="12296" width="9.140625" style="125" customWidth="1"/>
    <col min="12297" max="12297" width="19" style="125" customWidth="1"/>
    <col min="12298" max="12544" width="9.140625" style="125"/>
    <col min="12545" max="12545" width="25.85546875" style="125" customWidth="1"/>
    <col min="12546" max="12547" width="11" style="125" customWidth="1"/>
    <col min="12548" max="12548" width="22.85546875" style="125" customWidth="1"/>
    <col min="12549" max="12550" width="11" style="125" customWidth="1"/>
    <col min="12551" max="12552" width="9.140625" style="125" customWidth="1"/>
    <col min="12553" max="12553" width="19" style="125" customWidth="1"/>
    <col min="12554" max="12800" width="9.140625" style="125"/>
    <col min="12801" max="12801" width="25.85546875" style="125" customWidth="1"/>
    <col min="12802" max="12803" width="11" style="125" customWidth="1"/>
    <col min="12804" max="12804" width="22.85546875" style="125" customWidth="1"/>
    <col min="12805" max="12806" width="11" style="125" customWidth="1"/>
    <col min="12807" max="12808" width="9.140625" style="125" customWidth="1"/>
    <col min="12809" max="12809" width="19" style="125" customWidth="1"/>
    <col min="12810" max="13056" width="9.140625" style="125"/>
    <col min="13057" max="13057" width="25.85546875" style="125" customWidth="1"/>
    <col min="13058" max="13059" width="11" style="125" customWidth="1"/>
    <col min="13060" max="13060" width="22.85546875" style="125" customWidth="1"/>
    <col min="13061" max="13062" width="11" style="125" customWidth="1"/>
    <col min="13063" max="13064" width="9.140625" style="125" customWidth="1"/>
    <col min="13065" max="13065" width="19" style="125" customWidth="1"/>
    <col min="13066" max="13312" width="9.140625" style="125"/>
    <col min="13313" max="13313" width="25.85546875" style="125" customWidth="1"/>
    <col min="13314" max="13315" width="11" style="125" customWidth="1"/>
    <col min="13316" max="13316" width="22.85546875" style="125" customWidth="1"/>
    <col min="13317" max="13318" width="11" style="125" customWidth="1"/>
    <col min="13319" max="13320" width="9.140625" style="125" customWidth="1"/>
    <col min="13321" max="13321" width="19" style="125" customWidth="1"/>
    <col min="13322" max="13568" width="9.140625" style="125"/>
    <col min="13569" max="13569" width="25.85546875" style="125" customWidth="1"/>
    <col min="13570" max="13571" width="11" style="125" customWidth="1"/>
    <col min="13572" max="13572" width="22.85546875" style="125" customWidth="1"/>
    <col min="13573" max="13574" width="11" style="125" customWidth="1"/>
    <col min="13575" max="13576" width="9.140625" style="125" customWidth="1"/>
    <col min="13577" max="13577" width="19" style="125" customWidth="1"/>
    <col min="13578" max="13824" width="9.140625" style="125"/>
    <col min="13825" max="13825" width="25.85546875" style="125" customWidth="1"/>
    <col min="13826" max="13827" width="11" style="125" customWidth="1"/>
    <col min="13828" max="13828" width="22.85546875" style="125" customWidth="1"/>
    <col min="13829" max="13830" width="11" style="125" customWidth="1"/>
    <col min="13831" max="13832" width="9.140625" style="125" customWidth="1"/>
    <col min="13833" max="13833" width="19" style="125" customWidth="1"/>
    <col min="13834" max="14080" width="9.140625" style="125"/>
    <col min="14081" max="14081" width="25.85546875" style="125" customWidth="1"/>
    <col min="14082" max="14083" width="11" style="125" customWidth="1"/>
    <col min="14084" max="14084" width="22.85546875" style="125" customWidth="1"/>
    <col min="14085" max="14086" width="11" style="125" customWidth="1"/>
    <col min="14087" max="14088" width="9.140625" style="125" customWidth="1"/>
    <col min="14089" max="14089" width="19" style="125" customWidth="1"/>
    <col min="14090" max="14336" width="9.140625" style="125"/>
    <col min="14337" max="14337" width="25.85546875" style="125" customWidth="1"/>
    <col min="14338" max="14339" width="11" style="125" customWidth="1"/>
    <col min="14340" max="14340" width="22.85546875" style="125" customWidth="1"/>
    <col min="14341" max="14342" width="11" style="125" customWidth="1"/>
    <col min="14343" max="14344" width="9.140625" style="125" customWidth="1"/>
    <col min="14345" max="14345" width="19" style="125" customWidth="1"/>
    <col min="14346" max="14592" width="9.140625" style="125"/>
    <col min="14593" max="14593" width="25.85546875" style="125" customWidth="1"/>
    <col min="14594" max="14595" width="11" style="125" customWidth="1"/>
    <col min="14596" max="14596" width="22.85546875" style="125" customWidth="1"/>
    <col min="14597" max="14598" width="11" style="125" customWidth="1"/>
    <col min="14599" max="14600" width="9.140625" style="125" customWidth="1"/>
    <col min="14601" max="14601" width="19" style="125" customWidth="1"/>
    <col min="14602" max="14848" width="9.140625" style="125"/>
    <col min="14849" max="14849" width="25.85546875" style="125" customWidth="1"/>
    <col min="14850" max="14851" width="11" style="125" customWidth="1"/>
    <col min="14852" max="14852" width="22.85546875" style="125" customWidth="1"/>
    <col min="14853" max="14854" width="11" style="125" customWidth="1"/>
    <col min="14855" max="14856" width="9.140625" style="125" customWidth="1"/>
    <col min="14857" max="14857" width="19" style="125" customWidth="1"/>
    <col min="14858" max="15104" width="9.140625" style="125"/>
    <col min="15105" max="15105" width="25.85546875" style="125" customWidth="1"/>
    <col min="15106" max="15107" width="11" style="125" customWidth="1"/>
    <col min="15108" max="15108" width="22.85546875" style="125" customWidth="1"/>
    <col min="15109" max="15110" width="11" style="125" customWidth="1"/>
    <col min="15111" max="15112" width="9.140625" style="125" customWidth="1"/>
    <col min="15113" max="15113" width="19" style="125" customWidth="1"/>
    <col min="15114" max="15360" width="9.140625" style="125"/>
    <col min="15361" max="15361" width="25.85546875" style="125" customWidth="1"/>
    <col min="15362" max="15363" width="11" style="125" customWidth="1"/>
    <col min="15364" max="15364" width="22.85546875" style="125" customWidth="1"/>
    <col min="15365" max="15366" width="11" style="125" customWidth="1"/>
    <col min="15367" max="15368" width="9.140625" style="125" customWidth="1"/>
    <col min="15369" max="15369" width="19" style="125" customWidth="1"/>
    <col min="15370" max="15616" width="9.140625" style="125"/>
    <col min="15617" max="15617" width="25.85546875" style="125" customWidth="1"/>
    <col min="15618" max="15619" width="11" style="125" customWidth="1"/>
    <col min="15620" max="15620" width="22.85546875" style="125" customWidth="1"/>
    <col min="15621" max="15622" width="11" style="125" customWidth="1"/>
    <col min="15623" max="15624" width="9.140625" style="125" customWidth="1"/>
    <col min="15625" max="15625" width="19" style="125" customWidth="1"/>
    <col min="15626" max="15872" width="9.140625" style="125"/>
    <col min="15873" max="15873" width="25.85546875" style="125" customWidth="1"/>
    <col min="15874" max="15875" width="11" style="125" customWidth="1"/>
    <col min="15876" max="15876" width="22.85546875" style="125" customWidth="1"/>
    <col min="15877" max="15878" width="11" style="125" customWidth="1"/>
    <col min="15879" max="15880" width="9.140625" style="125" customWidth="1"/>
    <col min="15881" max="15881" width="19" style="125" customWidth="1"/>
    <col min="15882" max="16128" width="9.140625" style="125"/>
    <col min="16129" max="16129" width="25.85546875" style="125" customWidth="1"/>
    <col min="16130" max="16131" width="11" style="125" customWidth="1"/>
    <col min="16132" max="16132" width="22.85546875" style="125" customWidth="1"/>
    <col min="16133" max="16134" width="11" style="125" customWidth="1"/>
    <col min="16135" max="16136" width="9.140625" style="125" customWidth="1"/>
    <col min="16137" max="16137" width="19" style="125" customWidth="1"/>
    <col min="16138" max="16383" width="9.140625" style="125"/>
    <col min="16384" max="16384" width="9.140625" style="125" customWidth="1"/>
  </cols>
  <sheetData>
    <row r="1" spans="1:9" s="126" customFormat="1" ht="20.25" x14ac:dyDescent="0.3">
      <c r="A1" s="532" t="s">
        <v>905</v>
      </c>
      <c r="B1" s="532"/>
      <c r="C1" s="532"/>
      <c r="D1" s="532"/>
      <c r="E1" s="532"/>
      <c r="F1" s="532"/>
      <c r="G1" s="455"/>
      <c r="I1" s="254"/>
    </row>
    <row r="2" spans="1:9" s="123" customFormat="1" ht="18" customHeight="1" x14ac:dyDescent="0.2">
      <c r="A2" s="188" t="s">
        <v>42</v>
      </c>
      <c r="B2" s="186" t="s">
        <v>213</v>
      </c>
      <c r="C2" s="187"/>
      <c r="D2" s="187"/>
      <c r="E2" s="187"/>
      <c r="F2" s="188"/>
      <c r="G2" s="261"/>
      <c r="H2" s="261"/>
      <c r="I2" s="256" t="s">
        <v>76</v>
      </c>
    </row>
    <row r="3" spans="1:9" s="123" customFormat="1" x14ac:dyDescent="0.2">
      <c r="A3" s="257"/>
      <c r="C3" s="124"/>
      <c r="D3" s="124"/>
      <c r="E3" s="124"/>
      <c r="G3" s="126"/>
      <c r="H3" s="126"/>
      <c r="I3" s="179"/>
    </row>
    <row r="4" spans="1:9" s="123" customFormat="1" x14ac:dyDescent="0.2">
      <c r="A4" s="182" t="s">
        <v>21</v>
      </c>
      <c r="B4" s="182" t="s">
        <v>0</v>
      </c>
      <c r="C4" s="182" t="s">
        <v>83</v>
      </c>
      <c r="D4" s="182" t="s">
        <v>231</v>
      </c>
      <c r="E4" s="182" t="s">
        <v>83</v>
      </c>
      <c r="F4" s="182" t="s">
        <v>140</v>
      </c>
      <c r="G4" s="367" t="s">
        <v>954</v>
      </c>
      <c r="H4" s="184" t="s">
        <v>45</v>
      </c>
      <c r="I4" s="183"/>
    </row>
    <row r="5" spans="1:9" s="123" customFormat="1" ht="38.25" x14ac:dyDescent="0.2">
      <c r="A5" s="187"/>
      <c r="B5" s="263" t="s">
        <v>411</v>
      </c>
      <c r="C5" s="187"/>
      <c r="D5" s="263" t="s">
        <v>411</v>
      </c>
      <c r="E5" s="187"/>
      <c r="F5" s="187"/>
      <c r="G5" s="365"/>
      <c r="H5" s="261">
        <v>12</v>
      </c>
      <c r="I5" s="179"/>
    </row>
    <row r="6" spans="1:9" s="123" customFormat="1" x14ac:dyDescent="0.2">
      <c r="A6" s="353" t="s">
        <v>828</v>
      </c>
      <c r="B6" s="354">
        <v>6.39</v>
      </c>
      <c r="C6" s="353" t="s">
        <v>869</v>
      </c>
      <c r="D6" s="309">
        <f>B6*1000/Conversions!D4</f>
        <v>7.0437692768068381</v>
      </c>
      <c r="E6" s="353" t="s">
        <v>662</v>
      </c>
      <c r="F6" s="353" t="s">
        <v>833</v>
      </c>
      <c r="G6" s="456"/>
      <c r="H6" s="254"/>
      <c r="I6" s="344" t="s">
        <v>856</v>
      </c>
    </row>
    <row r="7" spans="1:9" x14ac:dyDescent="0.2">
      <c r="A7" s="200" t="s">
        <v>412</v>
      </c>
      <c r="B7" s="264">
        <v>9980</v>
      </c>
      <c r="C7" s="200" t="s">
        <v>230</v>
      </c>
      <c r="D7" s="309">
        <f>CONVERT(B7,"btu","kWh")</f>
        <v>2.924849280318778</v>
      </c>
      <c r="E7" s="200" t="s">
        <v>662</v>
      </c>
      <c r="F7" s="125" t="s">
        <v>832</v>
      </c>
      <c r="I7" s="350" t="s">
        <v>842</v>
      </c>
    </row>
    <row r="8" spans="1:9" x14ac:dyDescent="0.2">
      <c r="A8" s="200" t="s">
        <v>297</v>
      </c>
      <c r="B8" s="264">
        <v>1630</v>
      </c>
      <c r="C8" s="200" t="s">
        <v>230</v>
      </c>
      <c r="D8" s="309">
        <f>CONVERT(B8,"btu","kWh")</f>
        <v>0.47770584438072228</v>
      </c>
      <c r="E8" s="200" t="s">
        <v>662</v>
      </c>
      <c r="F8" s="125" t="s">
        <v>832</v>
      </c>
      <c r="I8" s="350" t="s">
        <v>842</v>
      </c>
    </row>
    <row r="9" spans="1:9" s="259" customFormat="1" x14ac:dyDescent="0.2">
      <c r="A9" s="308" t="s">
        <v>661</v>
      </c>
      <c r="B9" s="398"/>
      <c r="C9" s="308"/>
      <c r="D9" s="375">
        <f>(SUM(D6:D8)/Conversions!D4/1000)</f>
        <v>1.1515101545365873E-5</v>
      </c>
      <c r="E9" s="308" t="s">
        <v>782</v>
      </c>
      <c r="G9" s="451"/>
      <c r="H9" s="451"/>
      <c r="I9" s="377"/>
    </row>
    <row r="10" spans="1:9" x14ac:dyDescent="0.2">
      <c r="A10" s="369" t="s">
        <v>829</v>
      </c>
      <c r="B10" s="445">
        <v>26000</v>
      </c>
      <c r="C10" s="369" t="s">
        <v>230</v>
      </c>
      <c r="D10" s="446"/>
      <c r="E10" s="369"/>
      <c r="F10" s="134" t="s">
        <v>832</v>
      </c>
      <c r="G10" s="134" t="s">
        <v>955</v>
      </c>
      <c r="H10" s="134">
        <v>15</v>
      </c>
      <c r="I10" s="350">
        <v>18</v>
      </c>
    </row>
    <row r="11" spans="1:9" x14ac:dyDescent="0.2">
      <c r="A11" s="369" t="s">
        <v>830</v>
      </c>
      <c r="B11" s="264">
        <v>11800</v>
      </c>
      <c r="C11" s="200" t="s">
        <v>230</v>
      </c>
      <c r="D11" s="309"/>
      <c r="E11" s="200"/>
      <c r="F11" s="125" t="s">
        <v>836</v>
      </c>
      <c r="G11" s="134" t="s">
        <v>956</v>
      </c>
      <c r="H11" s="134">
        <v>15</v>
      </c>
      <c r="I11" s="350">
        <v>18</v>
      </c>
    </row>
    <row r="12" spans="1:9" x14ac:dyDescent="0.2">
      <c r="A12" s="369" t="s">
        <v>831</v>
      </c>
      <c r="B12" s="264">
        <v>2980</v>
      </c>
      <c r="C12" s="200" t="s">
        <v>230</v>
      </c>
      <c r="D12" s="309"/>
      <c r="E12" s="200"/>
      <c r="F12" s="125" t="s">
        <v>837</v>
      </c>
      <c r="G12" s="134" t="s">
        <v>956</v>
      </c>
      <c r="H12" s="134">
        <v>15</v>
      </c>
      <c r="I12" s="350">
        <v>18</v>
      </c>
    </row>
    <row r="13" spans="1:9" x14ac:dyDescent="0.2">
      <c r="A13" s="369" t="s">
        <v>298</v>
      </c>
      <c r="B13" s="265">
        <v>1080</v>
      </c>
      <c r="C13" s="200" t="s">
        <v>230</v>
      </c>
      <c r="D13" s="200"/>
      <c r="E13" s="200"/>
      <c r="F13" s="125" t="s">
        <v>832</v>
      </c>
      <c r="G13" s="134" t="s">
        <v>956</v>
      </c>
      <c r="H13" s="134">
        <v>15</v>
      </c>
      <c r="I13" s="350" t="s">
        <v>842</v>
      </c>
    </row>
    <row r="14" spans="1:9" x14ac:dyDescent="0.2">
      <c r="A14" s="369" t="s">
        <v>299</v>
      </c>
      <c r="B14" s="265">
        <v>665</v>
      </c>
      <c r="C14" s="200" t="s">
        <v>230</v>
      </c>
      <c r="D14" s="200"/>
      <c r="E14" s="200"/>
      <c r="F14" s="125" t="s">
        <v>837</v>
      </c>
      <c r="G14" s="134" t="s">
        <v>956</v>
      </c>
      <c r="H14" s="134">
        <v>15</v>
      </c>
      <c r="I14" s="350" t="s">
        <v>842</v>
      </c>
    </row>
    <row r="15" spans="1:9" x14ac:dyDescent="0.2">
      <c r="A15" s="369" t="s">
        <v>838</v>
      </c>
      <c r="B15" s="265">
        <v>586</v>
      </c>
      <c r="C15" s="200" t="s">
        <v>230</v>
      </c>
      <c r="D15" s="200"/>
      <c r="E15" s="200"/>
      <c r="F15" s="125" t="s">
        <v>837</v>
      </c>
      <c r="G15" s="134" t="s">
        <v>956</v>
      </c>
      <c r="H15" s="134">
        <v>15</v>
      </c>
      <c r="I15" s="350">
        <v>18</v>
      </c>
    </row>
    <row r="16" spans="1:9" x14ac:dyDescent="0.2">
      <c r="A16" s="369" t="s">
        <v>839</v>
      </c>
      <c r="B16" s="265">
        <v>586</v>
      </c>
      <c r="C16" s="200" t="s">
        <v>230</v>
      </c>
      <c r="D16" s="200"/>
      <c r="E16" s="200"/>
      <c r="F16" s="125" t="s">
        <v>832</v>
      </c>
      <c r="G16" s="134" t="s">
        <v>956</v>
      </c>
      <c r="H16" s="134">
        <v>15</v>
      </c>
      <c r="I16" s="350">
        <v>18</v>
      </c>
    </row>
    <row r="17" spans="1:9" x14ac:dyDescent="0.2">
      <c r="A17" s="369" t="s">
        <v>300</v>
      </c>
      <c r="B17" s="265">
        <v>52</v>
      </c>
      <c r="C17" s="200" t="s">
        <v>230</v>
      </c>
      <c r="D17" s="200"/>
      <c r="E17" s="200"/>
      <c r="F17" s="125" t="s">
        <v>832</v>
      </c>
      <c r="G17" s="134" t="s">
        <v>956</v>
      </c>
      <c r="H17" s="134">
        <v>15</v>
      </c>
      <c r="I17" s="350" t="s">
        <v>842</v>
      </c>
    </row>
    <row r="18" spans="1:9" x14ac:dyDescent="0.2">
      <c r="A18" s="200" t="s">
        <v>409</v>
      </c>
      <c r="B18" s="266">
        <f>SUM(B10:B17)/Conversions!$D$4</f>
        <v>48.225017541631047</v>
      </c>
      <c r="C18" s="200" t="s">
        <v>312</v>
      </c>
      <c r="H18" s="457" t="s">
        <v>973</v>
      </c>
    </row>
    <row r="19" spans="1:9" s="259" customFormat="1" x14ac:dyDescent="0.2">
      <c r="A19" s="259" t="s">
        <v>663</v>
      </c>
      <c r="B19" s="397">
        <f>B18/Conversions!$F$11</f>
        <v>1.1117239085335967E-3</v>
      </c>
      <c r="C19" s="308" t="s">
        <v>319</v>
      </c>
      <c r="G19" s="451"/>
      <c r="H19" s="451"/>
      <c r="I19" s="376"/>
    </row>
    <row r="28" spans="1:9" x14ac:dyDescent="0.2">
      <c r="F28" s="125" t="s">
        <v>906</v>
      </c>
    </row>
    <row r="29" spans="1:9" x14ac:dyDescent="0.2">
      <c r="F29" s="258" t="s">
        <v>808</v>
      </c>
      <c r="G29" s="370"/>
      <c r="I29" s="180">
        <v>18</v>
      </c>
    </row>
    <row r="31" spans="1:9" x14ac:dyDescent="0.2">
      <c r="F31" s="125" t="s">
        <v>809</v>
      </c>
      <c r="I31" s="180">
        <v>18</v>
      </c>
    </row>
    <row r="34" spans="6:9" x14ac:dyDescent="0.2">
      <c r="F34" s="125" t="s">
        <v>810</v>
      </c>
      <c r="I34" s="180">
        <v>18</v>
      </c>
    </row>
    <row r="37" spans="6:9" x14ac:dyDescent="0.2">
      <c r="F37" s="125" t="s">
        <v>811</v>
      </c>
      <c r="I37" s="180">
        <v>18</v>
      </c>
    </row>
    <row r="39" spans="6:9" x14ac:dyDescent="0.2">
      <c r="F39" s="125" t="s">
        <v>812</v>
      </c>
      <c r="I39" s="180">
        <v>18</v>
      </c>
    </row>
    <row r="42" spans="6:9" x14ac:dyDescent="0.2">
      <c r="F42" s="125" t="s">
        <v>813</v>
      </c>
      <c r="I42" s="180">
        <v>18</v>
      </c>
    </row>
    <row r="45" spans="6:9" x14ac:dyDescent="0.2">
      <c r="F45" s="125" t="s">
        <v>814</v>
      </c>
      <c r="I45" s="180">
        <v>18</v>
      </c>
    </row>
    <row r="48" spans="6:9" x14ac:dyDescent="0.2">
      <c r="F48" s="125" t="s">
        <v>815</v>
      </c>
      <c r="I48" s="180">
        <v>18</v>
      </c>
    </row>
    <row r="50" spans="6:9" x14ac:dyDescent="0.2">
      <c r="F50" s="125" t="s">
        <v>816</v>
      </c>
      <c r="I50" s="180">
        <v>18</v>
      </c>
    </row>
    <row r="53" spans="6:9" x14ac:dyDescent="0.2">
      <c r="F53" s="125" t="s">
        <v>817</v>
      </c>
      <c r="I53" s="180">
        <v>18</v>
      </c>
    </row>
    <row r="55" spans="6:9" x14ac:dyDescent="0.2">
      <c r="F55" s="125" t="s">
        <v>818</v>
      </c>
      <c r="I55" s="180">
        <v>18</v>
      </c>
    </row>
    <row r="83" spans="3:5" x14ac:dyDescent="0.2">
      <c r="C83" s="258"/>
      <c r="D83" s="259"/>
      <c r="E83" s="259"/>
    </row>
    <row r="84" spans="3:5" x14ac:dyDescent="0.2">
      <c r="C84" s="260"/>
      <c r="D84" s="260"/>
    </row>
    <row r="85" spans="3:5" x14ac:dyDescent="0.2">
      <c r="C85" s="260"/>
      <c r="D85" s="260"/>
    </row>
    <row r="86" spans="3:5" x14ac:dyDescent="0.2">
      <c r="C86" s="260"/>
      <c r="D86" s="260"/>
    </row>
    <row r="87" spans="3:5" x14ac:dyDescent="0.2">
      <c r="C87" s="260"/>
      <c r="D87" s="260"/>
    </row>
    <row r="88" spans="3:5" x14ac:dyDescent="0.2">
      <c r="C88" s="260"/>
      <c r="D88" s="260"/>
    </row>
    <row r="89" spans="3:5" x14ac:dyDescent="0.2">
      <c r="C89" s="260"/>
      <c r="D89" s="260"/>
    </row>
    <row r="90" spans="3:5" x14ac:dyDescent="0.2">
      <c r="C90" s="260"/>
      <c r="D90" s="260"/>
    </row>
    <row r="91" spans="3:5" x14ac:dyDescent="0.2">
      <c r="C91" s="260"/>
      <c r="D91" s="260"/>
    </row>
    <row r="92" spans="3:5" x14ac:dyDescent="0.2">
      <c r="C92" s="260"/>
      <c r="D92" s="260"/>
    </row>
    <row r="93" spans="3:5" x14ac:dyDescent="0.2">
      <c r="C93" s="260"/>
      <c r="D93" s="260"/>
    </row>
    <row r="94" spans="3:5" x14ac:dyDescent="0.2">
      <c r="C94" s="260"/>
      <c r="D94" s="260"/>
    </row>
  </sheetData>
  <mergeCells count="1">
    <mergeCell ref="A1:F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7"/>
  <sheetViews>
    <sheetView zoomScaleNormal="100" workbookViewId="0">
      <selection activeCell="A30" sqref="A30"/>
    </sheetView>
  </sheetViews>
  <sheetFormatPr defaultRowHeight="12.75" x14ac:dyDescent="0.2"/>
  <cols>
    <col min="1" max="1" width="59.28515625" style="125" customWidth="1"/>
    <col min="2" max="2" width="11" style="125" customWidth="1"/>
    <col min="3" max="5" width="11" style="134" customWidth="1"/>
    <col min="6" max="6" width="16.28515625" style="125" bestFit="1" customWidth="1"/>
    <col min="7" max="7" width="11.5703125" style="125" customWidth="1"/>
    <col min="8" max="8" width="28" style="125" customWidth="1"/>
    <col min="9" max="9" width="14.28515625" style="125" customWidth="1"/>
    <col min="10" max="11" width="16.5703125" style="125" bestFit="1" customWidth="1"/>
    <col min="12" max="13" width="9.140625" style="125" customWidth="1"/>
    <col min="14" max="14" width="19" style="180" customWidth="1"/>
    <col min="15" max="261" width="9" style="125"/>
    <col min="262" max="262" width="25.85546875" style="125" customWidth="1"/>
    <col min="263" max="264" width="11" style="125" customWidth="1"/>
    <col min="265" max="265" width="22.85546875" style="125" customWidth="1"/>
    <col min="266" max="267" width="11" style="125" customWidth="1"/>
    <col min="268" max="269" width="9.140625" style="125" customWidth="1"/>
    <col min="270" max="270" width="19" style="125" customWidth="1"/>
    <col min="271" max="517" width="9" style="125"/>
    <col min="518" max="518" width="25.85546875" style="125" customWidth="1"/>
    <col min="519" max="520" width="11" style="125" customWidth="1"/>
    <col min="521" max="521" width="22.85546875" style="125" customWidth="1"/>
    <col min="522" max="523" width="11" style="125" customWidth="1"/>
    <col min="524" max="525" width="9.140625" style="125" customWidth="1"/>
    <col min="526" max="526" width="19" style="125" customWidth="1"/>
    <col min="527" max="773" width="9" style="125"/>
    <col min="774" max="774" width="25.85546875" style="125" customWidth="1"/>
    <col min="775" max="776" width="11" style="125" customWidth="1"/>
    <col min="777" max="777" width="22.85546875" style="125" customWidth="1"/>
    <col min="778" max="779" width="11" style="125" customWidth="1"/>
    <col min="780" max="781" width="9.140625" style="125" customWidth="1"/>
    <col min="782" max="782" width="19" style="125" customWidth="1"/>
    <col min="783" max="1029" width="9" style="125"/>
    <col min="1030" max="1030" width="25.85546875" style="125" customWidth="1"/>
    <col min="1031" max="1032" width="11" style="125" customWidth="1"/>
    <col min="1033" max="1033" width="22.85546875" style="125" customWidth="1"/>
    <col min="1034" max="1035" width="11" style="125" customWidth="1"/>
    <col min="1036" max="1037" width="9.140625" style="125" customWidth="1"/>
    <col min="1038" max="1038" width="19" style="125" customWidth="1"/>
    <col min="1039" max="1285" width="9" style="125"/>
    <col min="1286" max="1286" width="25.85546875" style="125" customWidth="1"/>
    <col min="1287" max="1288" width="11" style="125" customWidth="1"/>
    <col min="1289" max="1289" width="22.85546875" style="125" customWidth="1"/>
    <col min="1290" max="1291" width="11" style="125" customWidth="1"/>
    <col min="1292" max="1293" width="9.140625" style="125" customWidth="1"/>
    <col min="1294" max="1294" width="19" style="125" customWidth="1"/>
    <col min="1295" max="1541" width="9" style="125"/>
    <col min="1542" max="1542" width="25.85546875" style="125" customWidth="1"/>
    <col min="1543" max="1544" width="11" style="125" customWidth="1"/>
    <col min="1545" max="1545" width="22.85546875" style="125" customWidth="1"/>
    <col min="1546" max="1547" width="11" style="125" customWidth="1"/>
    <col min="1548" max="1549" width="9.140625" style="125" customWidth="1"/>
    <col min="1550" max="1550" width="19" style="125" customWidth="1"/>
    <col min="1551" max="1797" width="9" style="125"/>
    <col min="1798" max="1798" width="25.85546875" style="125" customWidth="1"/>
    <col min="1799" max="1800" width="11" style="125" customWidth="1"/>
    <col min="1801" max="1801" width="22.85546875" style="125" customWidth="1"/>
    <col min="1802" max="1803" width="11" style="125" customWidth="1"/>
    <col min="1804" max="1805" width="9.140625" style="125" customWidth="1"/>
    <col min="1806" max="1806" width="19" style="125" customWidth="1"/>
    <col min="1807" max="2053" width="9" style="125"/>
    <col min="2054" max="2054" width="25.85546875" style="125" customWidth="1"/>
    <col min="2055" max="2056" width="11" style="125" customWidth="1"/>
    <col min="2057" max="2057" width="22.85546875" style="125" customWidth="1"/>
    <col min="2058" max="2059" width="11" style="125" customWidth="1"/>
    <col min="2060" max="2061" width="9.140625" style="125" customWidth="1"/>
    <col min="2062" max="2062" width="19" style="125" customWidth="1"/>
    <col min="2063" max="2309" width="9" style="125"/>
    <col min="2310" max="2310" width="25.85546875" style="125" customWidth="1"/>
    <col min="2311" max="2312" width="11" style="125" customWidth="1"/>
    <col min="2313" max="2313" width="22.85546875" style="125" customWidth="1"/>
    <col min="2314" max="2315" width="11" style="125" customWidth="1"/>
    <col min="2316" max="2317" width="9.140625" style="125" customWidth="1"/>
    <col min="2318" max="2318" width="19" style="125" customWidth="1"/>
    <col min="2319" max="2565" width="9" style="125"/>
    <col min="2566" max="2566" width="25.85546875" style="125" customWidth="1"/>
    <col min="2567" max="2568" width="11" style="125" customWidth="1"/>
    <col min="2569" max="2569" width="22.85546875" style="125" customWidth="1"/>
    <col min="2570" max="2571" width="11" style="125" customWidth="1"/>
    <col min="2572" max="2573" width="9.140625" style="125" customWidth="1"/>
    <col min="2574" max="2574" width="19" style="125" customWidth="1"/>
    <col min="2575" max="2821" width="9" style="125"/>
    <col min="2822" max="2822" width="25.85546875" style="125" customWidth="1"/>
    <col min="2823" max="2824" width="11" style="125" customWidth="1"/>
    <col min="2825" max="2825" width="22.85546875" style="125" customWidth="1"/>
    <col min="2826" max="2827" width="11" style="125" customWidth="1"/>
    <col min="2828" max="2829" width="9.140625" style="125" customWidth="1"/>
    <col min="2830" max="2830" width="19" style="125" customWidth="1"/>
    <col min="2831" max="3077" width="9" style="125"/>
    <col min="3078" max="3078" width="25.85546875" style="125" customWidth="1"/>
    <col min="3079" max="3080" width="11" style="125" customWidth="1"/>
    <col min="3081" max="3081" width="22.85546875" style="125" customWidth="1"/>
    <col min="3082" max="3083" width="11" style="125" customWidth="1"/>
    <col min="3084" max="3085" width="9.140625" style="125" customWidth="1"/>
    <col min="3086" max="3086" width="19" style="125" customWidth="1"/>
    <col min="3087" max="3333" width="9" style="125"/>
    <col min="3334" max="3334" width="25.85546875" style="125" customWidth="1"/>
    <col min="3335" max="3336" width="11" style="125" customWidth="1"/>
    <col min="3337" max="3337" width="22.85546875" style="125" customWidth="1"/>
    <col min="3338" max="3339" width="11" style="125" customWidth="1"/>
    <col min="3340" max="3341" width="9.140625" style="125" customWidth="1"/>
    <col min="3342" max="3342" width="19" style="125" customWidth="1"/>
    <col min="3343" max="3589" width="9" style="125"/>
    <col min="3590" max="3590" width="25.85546875" style="125" customWidth="1"/>
    <col min="3591" max="3592" width="11" style="125" customWidth="1"/>
    <col min="3593" max="3593" width="22.85546875" style="125" customWidth="1"/>
    <col min="3594" max="3595" width="11" style="125" customWidth="1"/>
    <col min="3596" max="3597" width="9.140625" style="125" customWidth="1"/>
    <col min="3598" max="3598" width="19" style="125" customWidth="1"/>
    <col min="3599" max="3845" width="9" style="125"/>
    <col min="3846" max="3846" width="25.85546875" style="125" customWidth="1"/>
    <col min="3847" max="3848" width="11" style="125" customWidth="1"/>
    <col min="3849" max="3849" width="22.85546875" style="125" customWidth="1"/>
    <col min="3850" max="3851" width="11" style="125" customWidth="1"/>
    <col min="3852" max="3853" width="9.140625" style="125" customWidth="1"/>
    <col min="3854" max="3854" width="19" style="125" customWidth="1"/>
    <col min="3855" max="4101" width="9" style="125"/>
    <col min="4102" max="4102" width="25.85546875" style="125" customWidth="1"/>
    <col min="4103" max="4104" width="11" style="125" customWidth="1"/>
    <col min="4105" max="4105" width="22.85546875" style="125" customWidth="1"/>
    <col min="4106" max="4107" width="11" style="125" customWidth="1"/>
    <col min="4108" max="4109" width="9.140625" style="125" customWidth="1"/>
    <col min="4110" max="4110" width="19" style="125" customWidth="1"/>
    <col min="4111" max="4357" width="9" style="125"/>
    <col min="4358" max="4358" width="25.85546875" style="125" customWidth="1"/>
    <col min="4359" max="4360" width="11" style="125" customWidth="1"/>
    <col min="4361" max="4361" width="22.85546875" style="125" customWidth="1"/>
    <col min="4362" max="4363" width="11" style="125" customWidth="1"/>
    <col min="4364" max="4365" width="9.140625" style="125" customWidth="1"/>
    <col min="4366" max="4366" width="19" style="125" customWidth="1"/>
    <col min="4367" max="4613" width="9" style="125"/>
    <col min="4614" max="4614" width="25.85546875" style="125" customWidth="1"/>
    <col min="4615" max="4616" width="11" style="125" customWidth="1"/>
    <col min="4617" max="4617" width="22.85546875" style="125" customWidth="1"/>
    <col min="4618" max="4619" width="11" style="125" customWidth="1"/>
    <col min="4620" max="4621" width="9.140625" style="125" customWidth="1"/>
    <col min="4622" max="4622" width="19" style="125" customWidth="1"/>
    <col min="4623" max="4869" width="9" style="125"/>
    <col min="4870" max="4870" width="25.85546875" style="125" customWidth="1"/>
    <col min="4871" max="4872" width="11" style="125" customWidth="1"/>
    <col min="4873" max="4873" width="22.85546875" style="125" customWidth="1"/>
    <col min="4874" max="4875" width="11" style="125" customWidth="1"/>
    <col min="4876" max="4877" width="9.140625" style="125" customWidth="1"/>
    <col min="4878" max="4878" width="19" style="125" customWidth="1"/>
    <col min="4879" max="5125" width="9" style="125"/>
    <col min="5126" max="5126" width="25.85546875" style="125" customWidth="1"/>
    <col min="5127" max="5128" width="11" style="125" customWidth="1"/>
    <col min="5129" max="5129" width="22.85546875" style="125" customWidth="1"/>
    <col min="5130" max="5131" width="11" style="125" customWidth="1"/>
    <col min="5132" max="5133" width="9.140625" style="125" customWidth="1"/>
    <col min="5134" max="5134" width="19" style="125" customWidth="1"/>
    <col min="5135" max="5381" width="9" style="125"/>
    <col min="5382" max="5382" width="25.85546875" style="125" customWidth="1"/>
    <col min="5383" max="5384" width="11" style="125" customWidth="1"/>
    <col min="5385" max="5385" width="22.85546875" style="125" customWidth="1"/>
    <col min="5386" max="5387" width="11" style="125" customWidth="1"/>
    <col min="5388" max="5389" width="9.140625" style="125" customWidth="1"/>
    <col min="5390" max="5390" width="19" style="125" customWidth="1"/>
    <col min="5391" max="5637" width="9" style="125"/>
    <col min="5638" max="5638" width="25.85546875" style="125" customWidth="1"/>
    <col min="5639" max="5640" width="11" style="125" customWidth="1"/>
    <col min="5641" max="5641" width="22.85546875" style="125" customWidth="1"/>
    <col min="5642" max="5643" width="11" style="125" customWidth="1"/>
    <col min="5644" max="5645" width="9.140625" style="125" customWidth="1"/>
    <col min="5646" max="5646" width="19" style="125" customWidth="1"/>
    <col min="5647" max="5893" width="9" style="125"/>
    <col min="5894" max="5894" width="25.85546875" style="125" customWidth="1"/>
    <col min="5895" max="5896" width="11" style="125" customWidth="1"/>
    <col min="5897" max="5897" width="22.85546875" style="125" customWidth="1"/>
    <col min="5898" max="5899" width="11" style="125" customWidth="1"/>
    <col min="5900" max="5901" width="9.140625" style="125" customWidth="1"/>
    <col min="5902" max="5902" width="19" style="125" customWidth="1"/>
    <col min="5903" max="6149" width="9" style="125"/>
    <col min="6150" max="6150" width="25.85546875" style="125" customWidth="1"/>
    <col min="6151" max="6152" width="11" style="125" customWidth="1"/>
    <col min="6153" max="6153" width="22.85546875" style="125" customWidth="1"/>
    <col min="6154" max="6155" width="11" style="125" customWidth="1"/>
    <col min="6156" max="6157" width="9.140625" style="125" customWidth="1"/>
    <col min="6158" max="6158" width="19" style="125" customWidth="1"/>
    <col min="6159" max="6405" width="9" style="125"/>
    <col min="6406" max="6406" width="25.85546875" style="125" customWidth="1"/>
    <col min="6407" max="6408" width="11" style="125" customWidth="1"/>
    <col min="6409" max="6409" width="22.85546875" style="125" customWidth="1"/>
    <col min="6410" max="6411" width="11" style="125" customWidth="1"/>
    <col min="6412" max="6413" width="9.140625" style="125" customWidth="1"/>
    <col min="6414" max="6414" width="19" style="125" customWidth="1"/>
    <col min="6415" max="6661" width="9" style="125"/>
    <col min="6662" max="6662" width="25.85546875" style="125" customWidth="1"/>
    <col min="6663" max="6664" width="11" style="125" customWidth="1"/>
    <col min="6665" max="6665" width="22.85546875" style="125" customWidth="1"/>
    <col min="6666" max="6667" width="11" style="125" customWidth="1"/>
    <col min="6668" max="6669" width="9.140625" style="125" customWidth="1"/>
    <col min="6670" max="6670" width="19" style="125" customWidth="1"/>
    <col min="6671" max="6917" width="9" style="125"/>
    <col min="6918" max="6918" width="25.85546875" style="125" customWidth="1"/>
    <col min="6919" max="6920" width="11" style="125" customWidth="1"/>
    <col min="6921" max="6921" width="22.85546875" style="125" customWidth="1"/>
    <col min="6922" max="6923" width="11" style="125" customWidth="1"/>
    <col min="6924" max="6925" width="9.140625" style="125" customWidth="1"/>
    <col min="6926" max="6926" width="19" style="125" customWidth="1"/>
    <col min="6927" max="7173" width="9" style="125"/>
    <col min="7174" max="7174" width="25.85546875" style="125" customWidth="1"/>
    <col min="7175" max="7176" width="11" style="125" customWidth="1"/>
    <col min="7177" max="7177" width="22.85546875" style="125" customWidth="1"/>
    <col min="7178" max="7179" width="11" style="125" customWidth="1"/>
    <col min="7180" max="7181" width="9.140625" style="125" customWidth="1"/>
    <col min="7182" max="7182" width="19" style="125" customWidth="1"/>
    <col min="7183" max="7429" width="9" style="125"/>
    <col min="7430" max="7430" width="25.85546875" style="125" customWidth="1"/>
    <col min="7431" max="7432" width="11" style="125" customWidth="1"/>
    <col min="7433" max="7433" width="22.85546875" style="125" customWidth="1"/>
    <col min="7434" max="7435" width="11" style="125" customWidth="1"/>
    <col min="7436" max="7437" width="9.140625" style="125" customWidth="1"/>
    <col min="7438" max="7438" width="19" style="125" customWidth="1"/>
    <col min="7439" max="7685" width="9" style="125"/>
    <col min="7686" max="7686" width="25.85546875" style="125" customWidth="1"/>
    <col min="7687" max="7688" width="11" style="125" customWidth="1"/>
    <col min="7689" max="7689" width="22.85546875" style="125" customWidth="1"/>
    <col min="7690" max="7691" width="11" style="125" customWidth="1"/>
    <col min="7692" max="7693" width="9.140625" style="125" customWidth="1"/>
    <col min="7694" max="7694" width="19" style="125" customWidth="1"/>
    <col min="7695" max="7941" width="9" style="125"/>
    <col min="7942" max="7942" width="25.85546875" style="125" customWidth="1"/>
    <col min="7943" max="7944" width="11" style="125" customWidth="1"/>
    <col min="7945" max="7945" width="22.85546875" style="125" customWidth="1"/>
    <col min="7946" max="7947" width="11" style="125" customWidth="1"/>
    <col min="7948" max="7949" width="9.140625" style="125" customWidth="1"/>
    <col min="7950" max="7950" width="19" style="125" customWidth="1"/>
    <col min="7951" max="8197" width="9" style="125"/>
    <col min="8198" max="8198" width="25.85546875" style="125" customWidth="1"/>
    <col min="8199" max="8200" width="11" style="125" customWidth="1"/>
    <col min="8201" max="8201" width="22.85546875" style="125" customWidth="1"/>
    <col min="8202" max="8203" width="11" style="125" customWidth="1"/>
    <col min="8204" max="8205" width="9.140625" style="125" customWidth="1"/>
    <col min="8206" max="8206" width="19" style="125" customWidth="1"/>
    <col min="8207" max="8453" width="9" style="125"/>
    <col min="8454" max="8454" width="25.85546875" style="125" customWidth="1"/>
    <col min="8455" max="8456" width="11" style="125" customWidth="1"/>
    <col min="8457" max="8457" width="22.85546875" style="125" customWidth="1"/>
    <col min="8458" max="8459" width="11" style="125" customWidth="1"/>
    <col min="8460" max="8461" width="9.140625" style="125" customWidth="1"/>
    <col min="8462" max="8462" width="19" style="125" customWidth="1"/>
    <col min="8463" max="8709" width="9" style="125"/>
    <col min="8710" max="8710" width="25.85546875" style="125" customWidth="1"/>
    <col min="8711" max="8712" width="11" style="125" customWidth="1"/>
    <col min="8713" max="8713" width="22.85546875" style="125" customWidth="1"/>
    <col min="8714" max="8715" width="11" style="125" customWidth="1"/>
    <col min="8716" max="8717" width="9.140625" style="125" customWidth="1"/>
    <col min="8718" max="8718" width="19" style="125" customWidth="1"/>
    <col min="8719" max="8965" width="9" style="125"/>
    <col min="8966" max="8966" width="25.85546875" style="125" customWidth="1"/>
    <col min="8967" max="8968" width="11" style="125" customWidth="1"/>
    <col min="8969" max="8969" width="22.85546875" style="125" customWidth="1"/>
    <col min="8970" max="8971" width="11" style="125" customWidth="1"/>
    <col min="8972" max="8973" width="9.140625" style="125" customWidth="1"/>
    <col min="8974" max="8974" width="19" style="125" customWidth="1"/>
    <col min="8975" max="9221" width="9" style="125"/>
    <col min="9222" max="9222" width="25.85546875" style="125" customWidth="1"/>
    <col min="9223" max="9224" width="11" style="125" customWidth="1"/>
    <col min="9225" max="9225" width="22.85546875" style="125" customWidth="1"/>
    <col min="9226" max="9227" width="11" style="125" customWidth="1"/>
    <col min="9228" max="9229" width="9.140625" style="125" customWidth="1"/>
    <col min="9230" max="9230" width="19" style="125" customWidth="1"/>
    <col min="9231" max="9477" width="9" style="125"/>
    <col min="9478" max="9478" width="25.85546875" style="125" customWidth="1"/>
    <col min="9479" max="9480" width="11" style="125" customWidth="1"/>
    <col min="9481" max="9481" width="22.85546875" style="125" customWidth="1"/>
    <col min="9482" max="9483" width="11" style="125" customWidth="1"/>
    <col min="9484" max="9485" width="9.140625" style="125" customWidth="1"/>
    <col min="9486" max="9486" width="19" style="125" customWidth="1"/>
    <col min="9487" max="9733" width="9" style="125"/>
    <col min="9734" max="9734" width="25.85546875" style="125" customWidth="1"/>
    <col min="9735" max="9736" width="11" style="125" customWidth="1"/>
    <col min="9737" max="9737" width="22.85546875" style="125" customWidth="1"/>
    <col min="9738" max="9739" width="11" style="125" customWidth="1"/>
    <col min="9740" max="9741" width="9.140625" style="125" customWidth="1"/>
    <col min="9742" max="9742" width="19" style="125" customWidth="1"/>
    <col min="9743" max="9989" width="9" style="125"/>
    <col min="9990" max="9990" width="25.85546875" style="125" customWidth="1"/>
    <col min="9991" max="9992" width="11" style="125" customWidth="1"/>
    <col min="9993" max="9993" width="22.85546875" style="125" customWidth="1"/>
    <col min="9994" max="9995" width="11" style="125" customWidth="1"/>
    <col min="9996" max="9997" width="9.140625" style="125" customWidth="1"/>
    <col min="9998" max="9998" width="19" style="125" customWidth="1"/>
    <col min="9999" max="10245" width="9" style="125"/>
    <col min="10246" max="10246" width="25.85546875" style="125" customWidth="1"/>
    <col min="10247" max="10248" width="11" style="125" customWidth="1"/>
    <col min="10249" max="10249" width="22.85546875" style="125" customWidth="1"/>
    <col min="10250" max="10251" width="11" style="125" customWidth="1"/>
    <col min="10252" max="10253" width="9.140625" style="125" customWidth="1"/>
    <col min="10254" max="10254" width="19" style="125" customWidth="1"/>
    <col min="10255" max="10501" width="9" style="125"/>
    <col min="10502" max="10502" width="25.85546875" style="125" customWidth="1"/>
    <col min="10503" max="10504" width="11" style="125" customWidth="1"/>
    <col min="10505" max="10505" width="22.85546875" style="125" customWidth="1"/>
    <col min="10506" max="10507" width="11" style="125" customWidth="1"/>
    <col min="10508" max="10509" width="9.140625" style="125" customWidth="1"/>
    <col min="10510" max="10510" width="19" style="125" customWidth="1"/>
    <col min="10511" max="10757" width="9" style="125"/>
    <col min="10758" max="10758" width="25.85546875" style="125" customWidth="1"/>
    <col min="10759" max="10760" width="11" style="125" customWidth="1"/>
    <col min="10761" max="10761" width="22.85546875" style="125" customWidth="1"/>
    <col min="10762" max="10763" width="11" style="125" customWidth="1"/>
    <col min="10764" max="10765" width="9.140625" style="125" customWidth="1"/>
    <col min="10766" max="10766" width="19" style="125" customWidth="1"/>
    <col min="10767" max="11013" width="9" style="125"/>
    <col min="11014" max="11014" width="25.85546875" style="125" customWidth="1"/>
    <col min="11015" max="11016" width="11" style="125" customWidth="1"/>
    <col min="11017" max="11017" width="22.85546875" style="125" customWidth="1"/>
    <col min="11018" max="11019" width="11" style="125" customWidth="1"/>
    <col min="11020" max="11021" width="9.140625" style="125" customWidth="1"/>
    <col min="11022" max="11022" width="19" style="125" customWidth="1"/>
    <col min="11023" max="11269" width="9" style="125"/>
    <col min="11270" max="11270" width="25.85546875" style="125" customWidth="1"/>
    <col min="11271" max="11272" width="11" style="125" customWidth="1"/>
    <col min="11273" max="11273" width="22.85546875" style="125" customWidth="1"/>
    <col min="11274" max="11275" width="11" style="125" customWidth="1"/>
    <col min="11276" max="11277" width="9.140625" style="125" customWidth="1"/>
    <col min="11278" max="11278" width="19" style="125" customWidth="1"/>
    <col min="11279" max="11525" width="9" style="125"/>
    <col min="11526" max="11526" width="25.85546875" style="125" customWidth="1"/>
    <col min="11527" max="11528" width="11" style="125" customWidth="1"/>
    <col min="11529" max="11529" width="22.85546875" style="125" customWidth="1"/>
    <col min="11530" max="11531" width="11" style="125" customWidth="1"/>
    <col min="11532" max="11533" width="9.140625" style="125" customWidth="1"/>
    <col min="11534" max="11534" width="19" style="125" customWidth="1"/>
    <col min="11535" max="11781" width="9" style="125"/>
    <col min="11782" max="11782" width="25.85546875" style="125" customWidth="1"/>
    <col min="11783" max="11784" width="11" style="125" customWidth="1"/>
    <col min="11785" max="11785" width="22.85546875" style="125" customWidth="1"/>
    <col min="11786" max="11787" width="11" style="125" customWidth="1"/>
    <col min="11788" max="11789" width="9.140625" style="125" customWidth="1"/>
    <col min="11790" max="11790" width="19" style="125" customWidth="1"/>
    <col min="11791" max="12037" width="9" style="125"/>
    <col min="12038" max="12038" width="25.85546875" style="125" customWidth="1"/>
    <col min="12039" max="12040" width="11" style="125" customWidth="1"/>
    <col min="12041" max="12041" width="22.85546875" style="125" customWidth="1"/>
    <col min="12042" max="12043" width="11" style="125" customWidth="1"/>
    <col min="12044" max="12045" width="9.140625" style="125" customWidth="1"/>
    <col min="12046" max="12046" width="19" style="125" customWidth="1"/>
    <col min="12047" max="12293" width="9" style="125"/>
    <col min="12294" max="12294" width="25.85546875" style="125" customWidth="1"/>
    <col min="12295" max="12296" width="11" style="125" customWidth="1"/>
    <col min="12297" max="12297" width="22.85546875" style="125" customWidth="1"/>
    <col min="12298" max="12299" width="11" style="125" customWidth="1"/>
    <col min="12300" max="12301" width="9.140625" style="125" customWidth="1"/>
    <col min="12302" max="12302" width="19" style="125" customWidth="1"/>
    <col min="12303" max="12549" width="9" style="125"/>
    <col min="12550" max="12550" width="25.85546875" style="125" customWidth="1"/>
    <col min="12551" max="12552" width="11" style="125" customWidth="1"/>
    <col min="12553" max="12553" width="22.85546875" style="125" customWidth="1"/>
    <col min="12554" max="12555" width="11" style="125" customWidth="1"/>
    <col min="12556" max="12557" width="9.140625" style="125" customWidth="1"/>
    <col min="12558" max="12558" width="19" style="125" customWidth="1"/>
    <col min="12559" max="12805" width="9" style="125"/>
    <col min="12806" max="12806" width="25.85546875" style="125" customWidth="1"/>
    <col min="12807" max="12808" width="11" style="125" customWidth="1"/>
    <col min="12809" max="12809" width="22.85546875" style="125" customWidth="1"/>
    <col min="12810" max="12811" width="11" style="125" customWidth="1"/>
    <col min="12812" max="12813" width="9.140625" style="125" customWidth="1"/>
    <col min="12814" max="12814" width="19" style="125" customWidth="1"/>
    <col min="12815" max="13061" width="9" style="125"/>
    <col min="13062" max="13062" width="25.85546875" style="125" customWidth="1"/>
    <col min="13063" max="13064" width="11" style="125" customWidth="1"/>
    <col min="13065" max="13065" width="22.85546875" style="125" customWidth="1"/>
    <col min="13066" max="13067" width="11" style="125" customWidth="1"/>
    <col min="13068" max="13069" width="9.140625" style="125" customWidth="1"/>
    <col min="13070" max="13070" width="19" style="125" customWidth="1"/>
    <col min="13071" max="13317" width="9" style="125"/>
    <col min="13318" max="13318" width="25.85546875" style="125" customWidth="1"/>
    <col min="13319" max="13320" width="11" style="125" customWidth="1"/>
    <col min="13321" max="13321" width="22.85546875" style="125" customWidth="1"/>
    <col min="13322" max="13323" width="11" style="125" customWidth="1"/>
    <col min="13324" max="13325" width="9.140625" style="125" customWidth="1"/>
    <col min="13326" max="13326" width="19" style="125" customWidth="1"/>
    <col min="13327" max="13573" width="9" style="125"/>
    <col min="13574" max="13574" width="25.85546875" style="125" customWidth="1"/>
    <col min="13575" max="13576" width="11" style="125" customWidth="1"/>
    <col min="13577" max="13577" width="22.85546875" style="125" customWidth="1"/>
    <col min="13578" max="13579" width="11" style="125" customWidth="1"/>
    <col min="13580" max="13581" width="9.140625" style="125" customWidth="1"/>
    <col min="13582" max="13582" width="19" style="125" customWidth="1"/>
    <col min="13583" max="13829" width="9" style="125"/>
    <col min="13830" max="13830" width="25.85546875" style="125" customWidth="1"/>
    <col min="13831" max="13832" width="11" style="125" customWidth="1"/>
    <col min="13833" max="13833" width="22.85546875" style="125" customWidth="1"/>
    <col min="13834" max="13835" width="11" style="125" customWidth="1"/>
    <col min="13836" max="13837" width="9.140625" style="125" customWidth="1"/>
    <col min="13838" max="13838" width="19" style="125" customWidth="1"/>
    <col min="13839" max="14085" width="9" style="125"/>
    <col min="14086" max="14086" width="25.85546875" style="125" customWidth="1"/>
    <col min="14087" max="14088" width="11" style="125" customWidth="1"/>
    <col min="14089" max="14089" width="22.85546875" style="125" customWidth="1"/>
    <col min="14090" max="14091" width="11" style="125" customWidth="1"/>
    <col min="14092" max="14093" width="9.140625" style="125" customWidth="1"/>
    <col min="14094" max="14094" width="19" style="125" customWidth="1"/>
    <col min="14095" max="14341" width="9" style="125"/>
    <col min="14342" max="14342" width="25.85546875" style="125" customWidth="1"/>
    <col min="14343" max="14344" width="11" style="125" customWidth="1"/>
    <col min="14345" max="14345" width="22.85546875" style="125" customWidth="1"/>
    <col min="14346" max="14347" width="11" style="125" customWidth="1"/>
    <col min="14348" max="14349" width="9.140625" style="125" customWidth="1"/>
    <col min="14350" max="14350" width="19" style="125" customWidth="1"/>
    <col min="14351" max="14597" width="9" style="125"/>
    <col min="14598" max="14598" width="25.85546875" style="125" customWidth="1"/>
    <col min="14599" max="14600" width="11" style="125" customWidth="1"/>
    <col min="14601" max="14601" width="22.85546875" style="125" customWidth="1"/>
    <col min="14602" max="14603" width="11" style="125" customWidth="1"/>
    <col min="14604" max="14605" width="9.140625" style="125" customWidth="1"/>
    <col min="14606" max="14606" width="19" style="125" customWidth="1"/>
    <col min="14607" max="14853" width="9" style="125"/>
    <col min="14854" max="14854" width="25.85546875" style="125" customWidth="1"/>
    <col min="14855" max="14856" width="11" style="125" customWidth="1"/>
    <col min="14857" max="14857" width="22.85546875" style="125" customWidth="1"/>
    <col min="14858" max="14859" width="11" style="125" customWidth="1"/>
    <col min="14860" max="14861" width="9.140625" style="125" customWidth="1"/>
    <col min="14862" max="14862" width="19" style="125" customWidth="1"/>
    <col min="14863" max="15109" width="9" style="125"/>
    <col min="15110" max="15110" width="25.85546875" style="125" customWidth="1"/>
    <col min="15111" max="15112" width="11" style="125" customWidth="1"/>
    <col min="15113" max="15113" width="22.85546875" style="125" customWidth="1"/>
    <col min="15114" max="15115" width="11" style="125" customWidth="1"/>
    <col min="15116" max="15117" width="9.140625" style="125" customWidth="1"/>
    <col min="15118" max="15118" width="19" style="125" customWidth="1"/>
    <col min="15119" max="15365" width="9" style="125"/>
    <col min="15366" max="15366" width="25.85546875" style="125" customWidth="1"/>
    <col min="15367" max="15368" width="11" style="125" customWidth="1"/>
    <col min="15369" max="15369" width="22.85546875" style="125" customWidth="1"/>
    <col min="15370" max="15371" width="11" style="125" customWidth="1"/>
    <col min="15372" max="15373" width="9.140625" style="125" customWidth="1"/>
    <col min="15374" max="15374" width="19" style="125" customWidth="1"/>
    <col min="15375" max="15621" width="9" style="125"/>
    <col min="15622" max="15622" width="25.85546875" style="125" customWidth="1"/>
    <col min="15623" max="15624" width="11" style="125" customWidth="1"/>
    <col min="15625" max="15625" width="22.85546875" style="125" customWidth="1"/>
    <col min="15626" max="15627" width="11" style="125" customWidth="1"/>
    <col min="15628" max="15629" width="9.140625" style="125" customWidth="1"/>
    <col min="15630" max="15630" width="19" style="125" customWidth="1"/>
    <col min="15631" max="15877" width="9" style="125"/>
    <col min="15878" max="15878" width="25.85546875" style="125" customWidth="1"/>
    <col min="15879" max="15880" width="11" style="125" customWidth="1"/>
    <col min="15881" max="15881" width="22.85546875" style="125" customWidth="1"/>
    <col min="15882" max="15883" width="11" style="125" customWidth="1"/>
    <col min="15884" max="15885" width="9.140625" style="125" customWidth="1"/>
    <col min="15886" max="15886" width="19" style="125" customWidth="1"/>
    <col min="15887" max="16133" width="9" style="125"/>
    <col min="16134" max="16134" width="25.85546875" style="125" customWidth="1"/>
    <col min="16135" max="16136" width="11" style="125" customWidth="1"/>
    <col min="16137" max="16137" width="22.85546875" style="125" customWidth="1"/>
    <col min="16138" max="16139" width="11" style="125" customWidth="1"/>
    <col min="16140" max="16141" width="9.140625" style="125" customWidth="1"/>
    <col min="16142" max="16142" width="19" style="125" customWidth="1"/>
    <col min="16143" max="16384" width="9" style="125"/>
  </cols>
  <sheetData>
    <row r="1" spans="1:14" s="126" customFormat="1" x14ac:dyDescent="0.2">
      <c r="M1" s="255" t="s">
        <v>42</v>
      </c>
      <c r="N1" s="254"/>
    </row>
    <row r="2" spans="1:14" s="123" customFormat="1" ht="18" customHeight="1" x14ac:dyDescent="0.2">
      <c r="A2" s="188" t="s">
        <v>42</v>
      </c>
      <c r="B2" s="186" t="s">
        <v>213</v>
      </c>
      <c r="C2" s="364"/>
      <c r="D2" s="364"/>
      <c r="E2" s="365"/>
      <c r="F2" s="187"/>
      <c r="G2" s="187"/>
      <c r="H2" s="188"/>
      <c r="I2" s="188"/>
      <c r="J2" s="188"/>
      <c r="K2" s="188"/>
      <c r="L2" s="188"/>
      <c r="M2" s="188"/>
      <c r="N2" s="256" t="s">
        <v>76</v>
      </c>
    </row>
    <row r="3" spans="1:14" s="123" customFormat="1" x14ac:dyDescent="0.2">
      <c r="A3" s="257"/>
      <c r="C3" s="126"/>
      <c r="D3" s="126"/>
      <c r="E3" s="366"/>
      <c r="F3" s="124"/>
      <c r="G3" s="124"/>
      <c r="N3" s="179"/>
    </row>
    <row r="4" spans="1:14" s="123" customFormat="1" x14ac:dyDescent="0.2">
      <c r="A4" s="182" t="s">
        <v>21</v>
      </c>
      <c r="B4" s="182" t="s">
        <v>0</v>
      </c>
      <c r="C4" s="367"/>
      <c r="D4" s="367"/>
      <c r="E4" s="367"/>
      <c r="F4" s="182"/>
      <c r="G4" s="182" t="s">
        <v>83</v>
      </c>
      <c r="H4" s="182" t="s">
        <v>140</v>
      </c>
      <c r="I4" s="182"/>
      <c r="J4" s="184" t="s">
        <v>45</v>
      </c>
      <c r="K4" s="181"/>
      <c r="L4" s="181"/>
      <c r="M4" s="181"/>
      <c r="N4" s="183"/>
    </row>
    <row r="5" spans="1:14" s="123" customFormat="1" ht="15" x14ac:dyDescent="0.25">
      <c r="A5" s="187"/>
      <c r="B5" s="586" t="s">
        <v>411</v>
      </c>
      <c r="C5" s="587"/>
      <c r="D5" s="587"/>
      <c r="E5" s="587"/>
      <c r="F5" s="263"/>
      <c r="G5" s="187"/>
      <c r="H5" s="187"/>
      <c r="I5" s="187"/>
      <c r="J5" s="261">
        <v>12</v>
      </c>
      <c r="K5" s="262"/>
      <c r="L5" s="262"/>
      <c r="M5" s="262"/>
      <c r="N5" s="179"/>
    </row>
    <row r="6" spans="1:14" s="123" customFormat="1" x14ac:dyDescent="0.2">
      <c r="A6" s="187"/>
      <c r="B6" s="263" t="s">
        <v>84</v>
      </c>
      <c r="C6" s="368" t="s">
        <v>833</v>
      </c>
      <c r="D6" s="368" t="s">
        <v>235</v>
      </c>
      <c r="E6" s="381" t="s">
        <v>840</v>
      </c>
      <c r="F6" s="263" t="s">
        <v>841</v>
      </c>
      <c r="G6" s="187"/>
      <c r="H6" s="187"/>
      <c r="I6" s="187"/>
      <c r="J6" s="261"/>
      <c r="K6" s="262"/>
      <c r="L6" s="262"/>
      <c r="M6" s="262"/>
      <c r="N6" s="179"/>
    </row>
    <row r="7" spans="1:14" s="123" customFormat="1" x14ac:dyDescent="0.2">
      <c r="A7" s="353" t="s">
        <v>828</v>
      </c>
      <c r="B7" s="372">
        <f>Energy!D6</f>
        <v>7.0437692768068381</v>
      </c>
      <c r="C7" s="373">
        <f>B7</f>
        <v>7.0437692768068381</v>
      </c>
      <c r="D7" s="373">
        <v>0</v>
      </c>
      <c r="E7" s="373">
        <v>0</v>
      </c>
      <c r="F7" s="309">
        <f t="shared" ref="F7:F20" si="0">SUM(C7:E7)</f>
        <v>7.0437692768068381</v>
      </c>
      <c r="G7" s="353" t="str">
        <f>Energy!E6</f>
        <v>kWh/ton</v>
      </c>
      <c r="H7" s="353" t="s">
        <v>833</v>
      </c>
      <c r="I7" s="353"/>
      <c r="J7" s="254"/>
      <c r="K7" s="262"/>
      <c r="L7" s="262"/>
      <c r="M7" s="262"/>
      <c r="N7" s="344" t="s">
        <v>856</v>
      </c>
    </row>
    <row r="8" spans="1:14" x14ac:dyDescent="0.2">
      <c r="A8" s="200" t="s">
        <v>412</v>
      </c>
      <c r="B8" s="372">
        <f>Energy!D7</f>
        <v>2.924849280318778</v>
      </c>
      <c r="C8" s="373">
        <f>B8-D8</f>
        <v>2.3398794242550225</v>
      </c>
      <c r="D8" s="373">
        <f>B8/'Strip Ratio'!$B$8</f>
        <v>0.58496985606375562</v>
      </c>
      <c r="E8" s="373">
        <v>0</v>
      </c>
      <c r="F8" s="309">
        <f t="shared" si="0"/>
        <v>2.924849280318778</v>
      </c>
      <c r="G8" s="353" t="str">
        <f>Energy!E7</f>
        <v>kWh/ton</v>
      </c>
      <c r="H8" s="125" t="s">
        <v>832</v>
      </c>
      <c r="N8" s="350" t="s">
        <v>842</v>
      </c>
    </row>
    <row r="9" spans="1:14" x14ac:dyDescent="0.2">
      <c r="A9" s="200" t="s">
        <v>297</v>
      </c>
      <c r="B9" s="372">
        <f>Energy!D8</f>
        <v>0.47770584438072228</v>
      </c>
      <c r="C9" s="373">
        <f>B9-D9</f>
        <v>0.38216467550457783</v>
      </c>
      <c r="D9" s="373">
        <f>B9/'Strip Ratio'!$B$8</f>
        <v>9.5541168876144458E-2</v>
      </c>
      <c r="E9" s="373">
        <v>0</v>
      </c>
      <c r="F9" s="309">
        <f t="shared" si="0"/>
        <v>0.47770584438072228</v>
      </c>
      <c r="G9" s="353" t="str">
        <f>Energy!E8</f>
        <v>kWh/ton</v>
      </c>
      <c r="H9" s="125" t="s">
        <v>832</v>
      </c>
      <c r="N9" s="350" t="s">
        <v>842</v>
      </c>
    </row>
    <row r="10" spans="1:14" s="259" customFormat="1" x14ac:dyDescent="0.2">
      <c r="A10" s="308" t="s">
        <v>661</v>
      </c>
      <c r="B10" s="374">
        <f>Energy!D9</f>
        <v>1.1515101545365873E-5</v>
      </c>
      <c r="C10" s="378">
        <f>(SUM(C7:C9)/Conversions!$D$4/1000)</f>
        <v>1.0764966545365873E-5</v>
      </c>
      <c r="D10" s="378">
        <f>(SUM(D7:D9)/Conversions!$D$4/1000)</f>
        <v>7.5013500000000004E-7</v>
      </c>
      <c r="E10" s="378">
        <f>(SUM(E7:E9)/Conversions!$D$4/1000)</f>
        <v>0</v>
      </c>
      <c r="F10" s="375">
        <f t="shared" si="0"/>
        <v>1.1515101545365873E-5</v>
      </c>
      <c r="G10" s="187" t="str">
        <f>Energy!E9</f>
        <v>MWh/kg</v>
      </c>
      <c r="N10" s="377"/>
    </row>
    <row r="11" spans="1:14" x14ac:dyDescent="0.2">
      <c r="A11" s="200" t="s">
        <v>829</v>
      </c>
      <c r="B11" s="372">
        <f>Energy!B10</f>
        <v>26000</v>
      </c>
      <c r="C11" s="373">
        <f>B11-D11</f>
        <v>20800</v>
      </c>
      <c r="D11" s="373">
        <f>B11/'Strip Ratio'!$B$8</f>
        <v>5200</v>
      </c>
      <c r="E11" s="373">
        <v>0</v>
      </c>
      <c r="F11" s="309">
        <f t="shared" si="0"/>
        <v>26000</v>
      </c>
      <c r="G11" s="369" t="str">
        <f>Energy!C10</f>
        <v>Btu/ton</v>
      </c>
      <c r="H11" s="125" t="s">
        <v>832</v>
      </c>
      <c r="N11" s="350">
        <v>18</v>
      </c>
    </row>
    <row r="12" spans="1:14" x14ac:dyDescent="0.2">
      <c r="A12" s="200" t="s">
        <v>830</v>
      </c>
      <c r="B12" s="372">
        <f>Energy!B11</f>
        <v>11800</v>
      </c>
      <c r="C12" s="373">
        <f>B12-D12-E12</f>
        <v>9440</v>
      </c>
      <c r="D12" s="373">
        <v>0</v>
      </c>
      <c r="E12" s="373">
        <f>B12/'Strip Ratio'!$B$8</f>
        <v>2360</v>
      </c>
      <c r="F12" s="309">
        <f t="shared" si="0"/>
        <v>11800</v>
      </c>
      <c r="G12" s="369" t="str">
        <f>Energy!C11</f>
        <v>Btu/ton</v>
      </c>
      <c r="H12" s="125" t="s">
        <v>836</v>
      </c>
      <c r="N12" s="350">
        <v>18</v>
      </c>
    </row>
    <row r="13" spans="1:14" x14ac:dyDescent="0.2">
      <c r="A13" s="200" t="s">
        <v>831</v>
      </c>
      <c r="B13" s="372">
        <f>Energy!B12</f>
        <v>2980</v>
      </c>
      <c r="C13" s="373">
        <f>(B13-D13)/2</f>
        <v>1241.6666666666667</v>
      </c>
      <c r="D13" s="373">
        <f>B13/('Strip Ratio'!$B$8+1)</f>
        <v>496.66666666666669</v>
      </c>
      <c r="E13" s="373">
        <f>B13-D13-C13</f>
        <v>1241.6666666666667</v>
      </c>
      <c r="F13" s="309">
        <f t="shared" si="0"/>
        <v>2980</v>
      </c>
      <c r="G13" s="369" t="str">
        <f>Energy!C12</f>
        <v>Btu/ton</v>
      </c>
      <c r="H13" s="125" t="s">
        <v>837</v>
      </c>
      <c r="N13" s="350">
        <v>18</v>
      </c>
    </row>
    <row r="14" spans="1:14" x14ac:dyDescent="0.2">
      <c r="A14" s="200" t="s">
        <v>298</v>
      </c>
      <c r="B14" s="372">
        <f>Energy!B13</f>
        <v>1080</v>
      </c>
      <c r="C14" s="373">
        <f>B14-D14</f>
        <v>864</v>
      </c>
      <c r="D14" s="373">
        <f>B14/'Strip Ratio'!$B$8</f>
        <v>216</v>
      </c>
      <c r="E14" s="373">
        <v>0</v>
      </c>
      <c r="F14" s="309">
        <f t="shared" si="0"/>
        <v>1080</v>
      </c>
      <c r="G14" s="369" t="str">
        <f>Energy!C13</f>
        <v>Btu/ton</v>
      </c>
      <c r="H14" s="125" t="s">
        <v>832</v>
      </c>
      <c r="N14" s="350" t="s">
        <v>842</v>
      </c>
    </row>
    <row r="15" spans="1:14" x14ac:dyDescent="0.2">
      <c r="A15" s="200" t="s">
        <v>299</v>
      </c>
      <c r="B15" s="372">
        <f>Energy!B14</f>
        <v>665</v>
      </c>
      <c r="C15" s="373">
        <f>(B15-D15)/2</f>
        <v>277.08333333333331</v>
      </c>
      <c r="D15" s="373">
        <f>B15/('Strip Ratio'!$B$8+1)</f>
        <v>110.83333333333333</v>
      </c>
      <c r="E15" s="373">
        <f>B15-D15-C15</f>
        <v>277.08333333333331</v>
      </c>
      <c r="F15" s="309">
        <f t="shared" si="0"/>
        <v>665</v>
      </c>
      <c r="G15" s="369" t="str">
        <f>Energy!C14</f>
        <v>Btu/ton</v>
      </c>
      <c r="H15" s="125" t="s">
        <v>837</v>
      </c>
      <c r="N15" s="350" t="s">
        <v>842</v>
      </c>
    </row>
    <row r="16" spans="1:14" x14ac:dyDescent="0.2">
      <c r="A16" s="200" t="s">
        <v>838</v>
      </c>
      <c r="B16" s="372">
        <f>Energy!B15</f>
        <v>586</v>
      </c>
      <c r="C16" s="373">
        <f>(B16-D16)/2</f>
        <v>244.16666666666666</v>
      </c>
      <c r="D16" s="373">
        <f>B16/('Strip Ratio'!$B$8+1)</f>
        <v>97.666666666666671</v>
      </c>
      <c r="E16" s="373">
        <f>B16-D16-C16</f>
        <v>244.16666666666666</v>
      </c>
      <c r="F16" s="309">
        <f t="shared" si="0"/>
        <v>586</v>
      </c>
      <c r="G16" s="369" t="str">
        <f>Energy!C15</f>
        <v>Btu/ton</v>
      </c>
      <c r="H16" s="125" t="s">
        <v>837</v>
      </c>
      <c r="N16" s="350">
        <v>18</v>
      </c>
    </row>
    <row r="17" spans="1:14" x14ac:dyDescent="0.2">
      <c r="A17" s="200" t="s">
        <v>839</v>
      </c>
      <c r="B17" s="372">
        <f>Energy!B16</f>
        <v>586</v>
      </c>
      <c r="C17" s="373">
        <f>B17-D17</f>
        <v>468.8</v>
      </c>
      <c r="D17" s="373">
        <f>B17/'Strip Ratio'!$B$8</f>
        <v>117.2</v>
      </c>
      <c r="E17" s="373">
        <v>0</v>
      </c>
      <c r="F17" s="309">
        <f t="shared" si="0"/>
        <v>586</v>
      </c>
      <c r="G17" s="369" t="str">
        <f>Energy!C16</f>
        <v>Btu/ton</v>
      </c>
      <c r="H17" s="125" t="s">
        <v>832</v>
      </c>
      <c r="N17" s="350">
        <v>18</v>
      </c>
    </row>
    <row r="18" spans="1:14" x14ac:dyDescent="0.2">
      <c r="A18" s="200" t="s">
        <v>300</v>
      </c>
      <c r="B18" s="372">
        <f>Energy!B17</f>
        <v>52</v>
      </c>
      <c r="C18" s="373">
        <f>B18-D18</f>
        <v>41.6</v>
      </c>
      <c r="D18" s="373">
        <f>B18/'Strip Ratio'!$B$8</f>
        <v>10.4</v>
      </c>
      <c r="E18" s="373">
        <v>0</v>
      </c>
      <c r="F18" s="309">
        <f t="shared" si="0"/>
        <v>52</v>
      </c>
      <c r="G18" s="369" t="str">
        <f>Energy!C17</f>
        <v>Btu/ton</v>
      </c>
      <c r="H18" s="125" t="s">
        <v>832</v>
      </c>
      <c r="N18" s="350" t="s">
        <v>842</v>
      </c>
    </row>
    <row r="19" spans="1:14" x14ac:dyDescent="0.2">
      <c r="A19" s="200" t="s">
        <v>409</v>
      </c>
      <c r="B19" s="372">
        <f>Energy!B18</f>
        <v>48.225017541631047</v>
      </c>
      <c r="C19" s="373">
        <f>SUM(C11:C18)/Conversions!$D$4</f>
        <v>36.792193689971754</v>
      </c>
      <c r="D19" s="373">
        <f>SUM(D11:D18)/Conversions!$D$4</f>
        <v>6.8880861759939505</v>
      </c>
      <c r="E19" s="373">
        <f>SUM(E11:E18)/Conversions!$D$4</f>
        <v>4.544737675665341</v>
      </c>
      <c r="F19" s="309">
        <f t="shared" si="0"/>
        <v>48.22501754163104</v>
      </c>
      <c r="G19" s="369" t="str">
        <f>Energy!C18</f>
        <v>Btu/kg</v>
      </c>
      <c r="J19" s="125">
        <v>7</v>
      </c>
    </row>
    <row r="20" spans="1:14" s="259" customFormat="1" x14ac:dyDescent="0.2">
      <c r="A20" s="125" t="s">
        <v>663</v>
      </c>
      <c r="B20" s="372">
        <f>Energy!B19</f>
        <v>1.1117239085335967E-3</v>
      </c>
      <c r="C20" s="373">
        <f>C19/Conversions!$F$11</f>
        <v>8.4816477956136662E-4</v>
      </c>
      <c r="D20" s="373">
        <f>D19/Conversions!$F$11</f>
        <v>1.5878999067821256E-4</v>
      </c>
      <c r="E20" s="373">
        <f>E19/Conversions!$F$11</f>
        <v>1.0476913829401758E-4</v>
      </c>
      <c r="F20" s="309">
        <f t="shared" si="0"/>
        <v>1.1117239085335967E-3</v>
      </c>
      <c r="G20" s="369" t="str">
        <f>Energy!C19</f>
        <v>kg/kg</v>
      </c>
      <c r="N20" s="376"/>
    </row>
    <row r="21" spans="1:14" s="134" customFormat="1" x14ac:dyDescent="0.2">
      <c r="A21" s="451" t="s">
        <v>957</v>
      </c>
      <c r="B21" s="451"/>
      <c r="C21" s="452">
        <f>C11/Conversions!$D$4/Conversions!$F$11</f>
        <v>5.2855739096890929E-4</v>
      </c>
      <c r="D21" s="452">
        <f>D11/Conversions!$D$4/Conversions!$F$11</f>
        <v>1.3213934774222732E-4</v>
      </c>
      <c r="E21" s="452">
        <f>E11/Conversions!$D$4/Conversions!$F$11</f>
        <v>0</v>
      </c>
      <c r="G21" s="453" t="s">
        <v>319</v>
      </c>
      <c r="J21" s="134">
        <v>15</v>
      </c>
      <c r="N21" s="342"/>
    </row>
    <row r="22" spans="1:14" s="134" customFormat="1" x14ac:dyDescent="0.2">
      <c r="A22" s="451" t="s">
        <v>958</v>
      </c>
      <c r="B22" s="454"/>
      <c r="C22" s="452">
        <f>SUM(C12:C18)/Conversions!$D$4/Conversions!$F$11</f>
        <v>3.1960738859245728E-4</v>
      </c>
      <c r="D22" s="452">
        <f>SUM(D12:D18)/Conversions!$D$4/Conversions!$F$11</f>
        <v>2.6650642935985247E-5</v>
      </c>
      <c r="E22" s="452">
        <f>SUM(E12:E18)/Conversions!$D$4/Conversions!$F$11</f>
        <v>1.0476913829401758E-4</v>
      </c>
      <c r="G22" s="451" t="s">
        <v>319</v>
      </c>
      <c r="J22" s="134">
        <v>15</v>
      </c>
      <c r="N22" s="342"/>
    </row>
    <row r="23" spans="1:14" x14ac:dyDescent="0.2">
      <c r="C23" s="441"/>
    </row>
    <row r="26" spans="1:14" x14ac:dyDescent="0.2">
      <c r="C26" s="441"/>
    </row>
    <row r="27" spans="1:14" x14ac:dyDescent="0.2">
      <c r="C27" s="441"/>
      <c r="I27" s="258"/>
    </row>
    <row r="28" spans="1:14" x14ac:dyDescent="0.2">
      <c r="C28" s="441"/>
    </row>
    <row r="76" spans="5:7" x14ac:dyDescent="0.2">
      <c r="E76" s="370"/>
      <c r="F76" s="259"/>
      <c r="G76" s="259"/>
    </row>
    <row r="77" spans="5:7" x14ac:dyDescent="0.2">
      <c r="E77" s="371"/>
      <c r="F77" s="260"/>
    </row>
    <row r="78" spans="5:7" x14ac:dyDescent="0.2">
      <c r="E78" s="371"/>
      <c r="F78" s="260"/>
    </row>
    <row r="79" spans="5:7" x14ac:dyDescent="0.2">
      <c r="E79" s="371"/>
      <c r="F79" s="260"/>
    </row>
    <row r="80" spans="5:7" x14ac:dyDescent="0.2">
      <c r="E80" s="371"/>
      <c r="F80" s="260"/>
    </row>
    <row r="81" spans="5:6" x14ac:dyDescent="0.2">
      <c r="E81" s="371"/>
      <c r="F81" s="260"/>
    </row>
    <row r="82" spans="5:6" x14ac:dyDescent="0.2">
      <c r="E82" s="371"/>
      <c r="F82" s="260"/>
    </row>
    <row r="83" spans="5:6" x14ac:dyDescent="0.2">
      <c r="E83" s="371"/>
      <c r="F83" s="260"/>
    </row>
    <row r="84" spans="5:6" x14ac:dyDescent="0.2">
      <c r="E84" s="371"/>
      <c r="F84" s="260"/>
    </row>
    <row r="85" spans="5:6" x14ac:dyDescent="0.2">
      <c r="E85" s="371"/>
      <c r="F85" s="260"/>
    </row>
    <row r="86" spans="5:6" x14ac:dyDescent="0.2">
      <c r="E86" s="371"/>
      <c r="F86" s="260"/>
    </row>
    <row r="87" spans="5:6" x14ac:dyDescent="0.2">
      <c r="E87" s="371"/>
      <c r="F87" s="260"/>
    </row>
  </sheetData>
  <mergeCells count="1">
    <mergeCell ref="B5:E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workbookViewId="0">
      <selection activeCell="H24" sqref="H24"/>
    </sheetView>
  </sheetViews>
  <sheetFormatPr defaultRowHeight="15" x14ac:dyDescent="0.25"/>
  <cols>
    <col min="1" max="1" width="12.42578125" customWidth="1"/>
  </cols>
  <sheetData>
    <row r="1" spans="1:18" ht="20.25" x14ac:dyDescent="0.3">
      <c r="A1" s="205" t="s">
        <v>237</v>
      </c>
      <c r="B1" s="10"/>
      <c r="C1" s="10"/>
      <c r="D1" s="10"/>
      <c r="E1" s="10"/>
      <c r="F1" s="10"/>
      <c r="G1" s="10"/>
      <c r="H1" s="202" t="s">
        <v>238</v>
      </c>
      <c r="I1" s="3"/>
      <c r="J1" s="3"/>
      <c r="K1" s="3"/>
      <c r="L1" s="3"/>
      <c r="M1" s="10"/>
      <c r="N1" s="10"/>
      <c r="O1" s="10"/>
      <c r="P1" s="10"/>
      <c r="Q1" s="10"/>
      <c r="R1" s="10"/>
    </row>
    <row r="2" spans="1:18" ht="18" x14ac:dyDescent="0.25">
      <c r="A2" s="140" t="s">
        <v>42</v>
      </c>
      <c r="B2" s="3"/>
      <c r="C2" s="3"/>
      <c r="D2" s="3"/>
      <c r="E2" s="3"/>
      <c r="F2" s="3"/>
      <c r="G2" s="3"/>
      <c r="H2" s="3"/>
      <c r="I2" s="140" t="s">
        <v>76</v>
      </c>
      <c r="J2" s="3"/>
      <c r="K2" s="3"/>
      <c r="L2" s="3"/>
      <c r="M2" s="3"/>
      <c r="N2" s="3"/>
      <c r="O2" s="3"/>
      <c r="P2" s="3"/>
      <c r="Q2" s="140" t="s">
        <v>45</v>
      </c>
      <c r="R2" s="3"/>
    </row>
    <row r="3" spans="1:18" x14ac:dyDescent="0.25">
      <c r="A3" s="3"/>
      <c r="B3" s="3"/>
      <c r="C3" s="3"/>
      <c r="D3" s="3"/>
      <c r="E3" s="3"/>
      <c r="F3" s="3"/>
      <c r="G3" s="3"/>
      <c r="H3" s="3"/>
      <c r="I3" s="3"/>
      <c r="J3" s="3"/>
      <c r="K3" s="3"/>
      <c r="L3" s="3"/>
      <c r="M3" s="3"/>
      <c r="N3" s="3"/>
      <c r="O3" s="3"/>
      <c r="P3" s="3"/>
      <c r="Q3" s="3"/>
      <c r="R3" s="3"/>
    </row>
    <row r="4" spans="1:18" x14ac:dyDescent="0.25">
      <c r="A4" s="128" t="s">
        <v>804</v>
      </c>
      <c r="B4" s="3"/>
      <c r="C4" s="3"/>
      <c r="D4" s="3"/>
      <c r="E4" s="3"/>
      <c r="F4" s="3"/>
      <c r="G4" s="3"/>
      <c r="H4" s="3"/>
      <c r="I4" s="3"/>
      <c r="J4" s="3"/>
      <c r="K4" s="3"/>
      <c r="L4" s="3"/>
      <c r="M4" s="3"/>
      <c r="N4" s="3"/>
      <c r="O4" s="3"/>
      <c r="P4" s="3"/>
      <c r="Q4" s="3"/>
      <c r="R4" s="3"/>
    </row>
    <row r="5" spans="1:18" x14ac:dyDescent="0.25">
      <c r="A5" s="3"/>
      <c r="B5" s="3"/>
      <c r="C5" s="3"/>
      <c r="D5" s="3"/>
      <c r="E5" s="3"/>
      <c r="F5" s="3"/>
      <c r="G5" s="3"/>
      <c r="H5" s="3"/>
      <c r="I5" s="3"/>
      <c r="J5" s="3"/>
      <c r="K5" s="3"/>
      <c r="L5" s="3"/>
      <c r="M5" s="3"/>
      <c r="N5" s="3"/>
      <c r="O5" s="3"/>
      <c r="P5" s="3"/>
      <c r="Q5" s="3"/>
      <c r="R5" s="3"/>
    </row>
    <row r="6" spans="1:18" x14ac:dyDescent="0.25">
      <c r="A6" s="3"/>
      <c r="B6" s="3"/>
      <c r="C6" s="3"/>
      <c r="D6" s="3"/>
      <c r="E6" s="3"/>
      <c r="F6" s="3"/>
      <c r="G6" s="3"/>
      <c r="H6" s="3"/>
      <c r="I6" s="3"/>
      <c r="J6" s="3"/>
      <c r="K6" s="3"/>
      <c r="L6" s="3"/>
      <c r="M6" s="128"/>
      <c r="N6" s="3"/>
      <c r="O6" s="3"/>
      <c r="P6" s="3"/>
      <c r="Q6" s="3"/>
      <c r="R6" s="3"/>
    </row>
    <row r="7" spans="1:18" x14ac:dyDescent="0.25">
      <c r="A7" s="206" t="s">
        <v>0</v>
      </c>
      <c r="B7" s="206" t="s">
        <v>83</v>
      </c>
      <c r="C7" s="206"/>
      <c r="D7" s="206"/>
      <c r="E7" s="206" t="s">
        <v>140</v>
      </c>
      <c r="F7" s="3"/>
      <c r="G7" s="3"/>
      <c r="H7" s="3"/>
      <c r="I7" s="3"/>
      <c r="J7" s="3"/>
      <c r="K7" s="3"/>
      <c r="L7" s="3"/>
      <c r="M7" s="3"/>
      <c r="N7" s="3"/>
      <c r="O7" s="3"/>
      <c r="P7" s="3"/>
      <c r="Q7" s="3"/>
      <c r="R7" s="3"/>
    </row>
    <row r="8" spans="1:18" x14ac:dyDescent="0.25">
      <c r="A8" s="207">
        <f>AVERAGE(300000,400000)</f>
        <v>350000</v>
      </c>
      <c r="B8" s="128" t="s">
        <v>239</v>
      </c>
      <c r="C8" s="3"/>
      <c r="D8" s="3"/>
      <c r="E8" s="128"/>
      <c r="F8" s="3"/>
      <c r="G8" s="3"/>
      <c r="H8" s="3"/>
      <c r="I8" s="128" t="s">
        <v>400</v>
      </c>
      <c r="J8" s="128"/>
      <c r="K8" s="3"/>
      <c r="L8" s="3"/>
      <c r="M8" s="3"/>
      <c r="N8" s="3"/>
      <c r="O8" s="3"/>
      <c r="P8" s="3"/>
      <c r="Q8" s="3"/>
      <c r="R8" s="3"/>
    </row>
    <row r="9" spans="1:18" x14ac:dyDescent="0.25">
      <c r="A9" s="207">
        <f>A8*Conversions!$D$4</f>
        <v>317514659</v>
      </c>
      <c r="B9" s="128" t="s">
        <v>240</v>
      </c>
      <c r="C9" s="3"/>
      <c r="D9" s="3"/>
      <c r="E9" s="128"/>
      <c r="F9" s="3"/>
      <c r="G9" s="3"/>
      <c r="H9" s="3"/>
      <c r="I9" s="3"/>
      <c r="J9" s="128"/>
      <c r="K9" s="3"/>
      <c r="L9" s="3"/>
      <c r="M9" s="3"/>
      <c r="N9" s="3"/>
      <c r="O9" s="3"/>
      <c r="P9" s="3"/>
      <c r="Q9" s="3"/>
      <c r="R9" s="3"/>
    </row>
    <row r="10" spans="1:18" x14ac:dyDescent="0.25">
      <c r="A10" s="207">
        <f>A9</f>
        <v>317514659</v>
      </c>
      <c r="B10" s="128" t="s">
        <v>241</v>
      </c>
      <c r="C10" s="3"/>
      <c r="D10" s="3"/>
      <c r="E10" s="128"/>
      <c r="F10" s="3"/>
      <c r="G10" s="3"/>
      <c r="H10" s="3"/>
      <c r="I10" s="128"/>
      <c r="J10" s="128"/>
      <c r="K10" s="3"/>
      <c r="L10" s="3"/>
      <c r="M10" s="128"/>
      <c r="N10" s="3"/>
      <c r="O10" s="3"/>
      <c r="P10" s="3"/>
      <c r="Q10" s="3"/>
      <c r="R10" s="3"/>
    </row>
    <row r="11" spans="1:18" x14ac:dyDescent="0.25">
      <c r="A11" s="208">
        <v>225</v>
      </c>
      <c r="B11" s="128" t="s">
        <v>242</v>
      </c>
      <c r="C11" s="3"/>
      <c r="D11" s="3"/>
      <c r="E11" s="128" t="s">
        <v>243</v>
      </c>
      <c r="F11" s="3"/>
      <c r="G11" s="3"/>
      <c r="H11" s="3"/>
      <c r="I11" s="128" t="s">
        <v>401</v>
      </c>
      <c r="J11" s="128"/>
      <c r="K11" s="3"/>
      <c r="L11" s="3"/>
      <c r="M11" s="3"/>
      <c r="N11" s="3"/>
      <c r="O11" s="3"/>
      <c r="P11" s="3"/>
      <c r="Q11" s="3"/>
      <c r="R11" s="3"/>
    </row>
    <row r="12" spans="1:18" x14ac:dyDescent="0.25">
      <c r="A12" s="208">
        <f>A11*10^6*Conversions!$D$4</f>
        <v>204116566500</v>
      </c>
      <c r="B12" s="128" t="s">
        <v>244</v>
      </c>
      <c r="C12" s="3"/>
      <c r="D12" s="3"/>
      <c r="E12" s="3"/>
      <c r="F12" s="3"/>
      <c r="G12" s="3"/>
      <c r="H12" s="3"/>
      <c r="I12" s="3"/>
      <c r="J12" s="128"/>
      <c r="K12" s="3"/>
      <c r="L12" s="3"/>
      <c r="M12" s="3"/>
      <c r="N12" s="3"/>
      <c r="O12" s="3"/>
      <c r="P12" s="3"/>
      <c r="Q12" s="3"/>
      <c r="R12" s="3"/>
    </row>
    <row r="13" spans="1:18" x14ac:dyDescent="0.25">
      <c r="A13" s="209">
        <f>A10/A12</f>
        <v>1.5555555555555555E-3</v>
      </c>
      <c r="B13" s="126" t="s">
        <v>245</v>
      </c>
      <c r="C13" s="3"/>
      <c r="D13" s="3"/>
      <c r="E13" s="3"/>
      <c r="F13" s="3"/>
      <c r="G13" s="3"/>
      <c r="H13" s="3"/>
      <c r="I13" s="3"/>
      <c r="J13" s="128"/>
      <c r="K13" s="3"/>
      <c r="L13" s="3"/>
      <c r="M13" s="3"/>
      <c r="N13" s="3"/>
      <c r="O13" s="3"/>
      <c r="P13" s="3"/>
      <c r="Q13" s="3"/>
      <c r="R13" s="3"/>
    </row>
    <row r="14" spans="1:18" x14ac:dyDescent="0.25">
      <c r="A14" s="210">
        <f>AVERAGE(93,94)/100</f>
        <v>0.93500000000000005</v>
      </c>
      <c r="B14" s="128" t="s">
        <v>246</v>
      </c>
      <c r="C14" s="3"/>
      <c r="D14" s="3"/>
      <c r="E14" s="3"/>
      <c r="F14" s="3"/>
      <c r="G14" s="3"/>
      <c r="H14" s="3"/>
      <c r="I14" s="128" t="s">
        <v>402</v>
      </c>
      <c r="J14" s="128"/>
      <c r="K14" s="3"/>
      <c r="L14" s="3"/>
      <c r="M14" s="128"/>
      <c r="N14" s="3"/>
      <c r="O14" s="3"/>
      <c r="P14" s="3"/>
      <c r="Q14" s="3"/>
      <c r="R14" s="3"/>
    </row>
    <row r="15" spans="1:18" x14ac:dyDescent="0.25">
      <c r="A15" s="210">
        <f>AVERAGE(6,7)/100</f>
        <v>6.5000000000000002E-2</v>
      </c>
      <c r="B15" s="128" t="s">
        <v>247</v>
      </c>
      <c r="C15" s="3"/>
      <c r="D15" s="3"/>
      <c r="E15" s="3"/>
      <c r="F15" s="3"/>
      <c r="G15" s="3"/>
      <c r="H15" s="3"/>
      <c r="I15" s="128" t="s">
        <v>402</v>
      </c>
      <c r="J15" s="128"/>
      <c r="K15" s="3"/>
      <c r="L15" s="3"/>
      <c r="M15" s="3"/>
      <c r="N15" s="3"/>
      <c r="O15" s="3"/>
      <c r="P15" s="3"/>
      <c r="Q15" s="3"/>
      <c r="R15" s="3"/>
    </row>
    <row r="16" spans="1:18" x14ac:dyDescent="0.25">
      <c r="A16" s="209">
        <f>A14*A13</f>
        <v>1.4544444444444444E-3</v>
      </c>
      <c r="B16" s="126" t="s">
        <v>248</v>
      </c>
      <c r="C16" s="3"/>
      <c r="D16" s="3"/>
      <c r="E16" s="3" t="s">
        <v>832</v>
      </c>
      <c r="F16" s="3"/>
      <c r="G16" s="3"/>
      <c r="H16" s="3"/>
      <c r="I16" s="3"/>
      <c r="J16" s="128"/>
      <c r="K16" s="3"/>
      <c r="L16" s="3"/>
      <c r="M16" s="3"/>
      <c r="N16" s="3"/>
      <c r="O16" s="3"/>
      <c r="P16" s="3"/>
      <c r="Q16" s="211">
        <v>2</v>
      </c>
      <c r="R16" s="3"/>
    </row>
    <row r="17" spans="1:18" x14ac:dyDescent="0.25">
      <c r="A17" s="209">
        <f>A15*A13</f>
        <v>1.011111111111111E-4</v>
      </c>
      <c r="B17" s="126" t="s">
        <v>249</v>
      </c>
      <c r="C17" s="3"/>
      <c r="D17" s="3"/>
      <c r="E17" s="3" t="s">
        <v>832</v>
      </c>
      <c r="F17" s="3"/>
      <c r="G17" s="3"/>
      <c r="H17" s="3"/>
      <c r="I17" s="128"/>
      <c r="J17" s="128"/>
      <c r="K17" s="3"/>
      <c r="L17" s="3"/>
      <c r="M17" s="3"/>
      <c r="N17" s="3"/>
      <c r="O17" s="3"/>
      <c r="P17" s="3"/>
      <c r="Q17" s="211">
        <v>2</v>
      </c>
      <c r="R17" s="3"/>
    </row>
    <row r="19" spans="1:18" x14ac:dyDescent="0.25">
      <c r="A19" s="401">
        <f>A16/'Strip Ratio'!B8</f>
        <v>2.9088888888888887E-4</v>
      </c>
      <c r="B19" s="231" t="s">
        <v>248</v>
      </c>
      <c r="C19" s="400"/>
      <c r="E19" t="s">
        <v>235</v>
      </c>
    </row>
    <row r="20" spans="1:18" x14ac:dyDescent="0.25">
      <c r="A20" s="401">
        <f>A16-A19</f>
        <v>1.1635555555555555E-3</v>
      </c>
      <c r="B20" s="231" t="s">
        <v>248</v>
      </c>
      <c r="C20" s="400"/>
      <c r="E20" s="10" t="s">
        <v>833</v>
      </c>
    </row>
    <row r="21" spans="1:18" x14ac:dyDescent="0.25">
      <c r="A21" s="400"/>
      <c r="B21" s="402"/>
      <c r="C21" s="400"/>
    </row>
    <row r="22" spans="1:18" x14ac:dyDescent="0.25">
      <c r="A22" s="401">
        <f>A17/'Strip Ratio'!B8</f>
        <v>2.0222222222222222E-5</v>
      </c>
      <c r="B22" s="231" t="s">
        <v>249</v>
      </c>
      <c r="C22" s="400"/>
      <c r="E22" t="s">
        <v>235</v>
      </c>
    </row>
    <row r="23" spans="1:18" x14ac:dyDescent="0.25">
      <c r="A23" s="401">
        <f>A17-A22</f>
        <v>8.0888888888888888E-5</v>
      </c>
      <c r="B23" s="231" t="s">
        <v>249</v>
      </c>
      <c r="C23" s="400"/>
      <c r="E23" t="s">
        <v>833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workbookViewId="0">
      <selection activeCell="I15" sqref="I15"/>
    </sheetView>
  </sheetViews>
  <sheetFormatPr defaultRowHeight="15" x14ac:dyDescent="0.25"/>
  <cols>
    <col min="1" max="1" width="12.42578125" customWidth="1"/>
    <col min="2" max="2" width="11.5703125" bestFit="1" customWidth="1"/>
    <col min="5" max="5" width="51.28515625" bestFit="1" customWidth="1"/>
    <col min="9" max="9" width="14.42578125" bestFit="1" customWidth="1"/>
  </cols>
  <sheetData>
    <row r="1" spans="1:18" ht="20.25" x14ac:dyDescent="0.3">
      <c r="A1" s="205" t="s">
        <v>237</v>
      </c>
      <c r="B1" s="10"/>
      <c r="C1" s="10"/>
      <c r="D1" s="10"/>
      <c r="E1" s="10"/>
      <c r="F1" s="10"/>
      <c r="G1" s="10"/>
      <c r="H1" s="343" t="s">
        <v>238</v>
      </c>
      <c r="I1" s="3"/>
      <c r="J1" s="3"/>
      <c r="K1" s="3"/>
      <c r="L1" s="3"/>
      <c r="M1" s="10"/>
      <c r="N1" s="10"/>
      <c r="O1" s="10"/>
      <c r="P1" s="10"/>
      <c r="Q1" s="10"/>
      <c r="R1" s="10"/>
    </row>
    <row r="2" spans="1:18" ht="18" x14ac:dyDescent="0.25">
      <c r="A2" s="140" t="s">
        <v>42</v>
      </c>
      <c r="B2" s="3"/>
      <c r="C2" s="3"/>
      <c r="D2" s="3"/>
      <c r="E2" s="3"/>
      <c r="F2" s="3"/>
      <c r="G2" s="3"/>
      <c r="H2" s="3"/>
      <c r="I2" s="140" t="s">
        <v>76</v>
      </c>
      <c r="J2" s="3"/>
      <c r="K2" s="3"/>
      <c r="L2" s="3"/>
      <c r="M2" s="3"/>
      <c r="N2" s="3"/>
      <c r="O2" s="3"/>
      <c r="P2" s="3"/>
      <c r="Q2" s="140" t="s">
        <v>45</v>
      </c>
      <c r="R2" s="3"/>
    </row>
    <row r="3" spans="1:18" x14ac:dyDescent="0.25">
      <c r="A3" s="3"/>
      <c r="B3" s="3"/>
      <c r="C3" s="3"/>
      <c r="D3" s="3"/>
      <c r="E3" s="3"/>
      <c r="F3" s="3"/>
      <c r="G3" s="3"/>
      <c r="H3" s="3"/>
      <c r="I3" s="3"/>
      <c r="J3" s="3"/>
      <c r="K3" s="3"/>
      <c r="L3" s="3"/>
      <c r="M3" s="3"/>
      <c r="N3" s="3"/>
      <c r="O3" s="3"/>
      <c r="P3" s="3"/>
      <c r="Q3" s="3"/>
      <c r="R3" s="3"/>
    </row>
    <row r="4" spans="1:18" x14ac:dyDescent="0.25">
      <c r="A4" s="128" t="s">
        <v>724</v>
      </c>
      <c r="B4" s="3"/>
      <c r="C4" s="3"/>
      <c r="D4" s="3"/>
      <c r="E4" s="3"/>
      <c r="F4" s="3"/>
      <c r="G4" s="3"/>
      <c r="H4" s="3"/>
      <c r="I4" s="3"/>
      <c r="J4" s="3"/>
      <c r="K4" s="3"/>
      <c r="L4" s="3"/>
      <c r="M4" s="3"/>
      <c r="N4" s="3"/>
      <c r="O4" s="3"/>
      <c r="P4" s="3"/>
      <c r="Q4" s="3"/>
      <c r="R4" s="3"/>
    </row>
    <row r="5" spans="1:18" x14ac:dyDescent="0.25">
      <c r="A5" s="3"/>
      <c r="B5" s="3"/>
      <c r="C5" s="3"/>
      <c r="D5" s="3"/>
      <c r="E5" s="3"/>
      <c r="F5" s="3"/>
      <c r="G5" s="3"/>
      <c r="H5" s="3"/>
      <c r="I5" s="3"/>
      <c r="J5" s="3"/>
      <c r="K5" s="3"/>
      <c r="L5" s="3"/>
      <c r="M5" s="3"/>
      <c r="N5" s="3"/>
      <c r="O5" s="3"/>
      <c r="P5" s="3"/>
      <c r="Q5" s="3"/>
      <c r="R5" s="3"/>
    </row>
    <row r="6" spans="1:18" x14ac:dyDescent="0.25">
      <c r="A6" s="3"/>
      <c r="B6" s="3"/>
      <c r="C6" s="3"/>
      <c r="D6" s="3"/>
      <c r="E6" s="3"/>
      <c r="F6" s="3"/>
      <c r="G6" s="3"/>
      <c r="H6" s="3"/>
      <c r="I6" s="3"/>
      <c r="J6" s="3"/>
      <c r="K6" s="3"/>
      <c r="L6" s="3"/>
      <c r="M6" s="128"/>
      <c r="N6" s="3"/>
      <c r="O6" s="3"/>
      <c r="P6" s="3"/>
      <c r="Q6" s="3"/>
      <c r="R6" s="3"/>
    </row>
    <row r="7" spans="1:18" x14ac:dyDescent="0.25">
      <c r="A7" s="206" t="s">
        <v>0</v>
      </c>
      <c r="B7" s="206" t="s">
        <v>83</v>
      </c>
      <c r="C7" s="206"/>
      <c r="D7" s="206"/>
      <c r="E7" s="206" t="s">
        <v>140</v>
      </c>
      <c r="F7" s="3"/>
      <c r="G7" s="3"/>
      <c r="H7" s="3"/>
      <c r="I7" s="3"/>
      <c r="J7" s="3"/>
      <c r="K7" s="3"/>
      <c r="L7" s="3"/>
      <c r="M7" s="3"/>
      <c r="N7" s="3"/>
      <c r="O7" s="3"/>
      <c r="P7" s="3"/>
      <c r="Q7" s="3"/>
      <c r="R7" s="3"/>
    </row>
    <row r="8" spans="1:18" x14ac:dyDescent="0.25">
      <c r="A8" s="207">
        <v>29.73</v>
      </c>
      <c r="B8" s="128" t="s">
        <v>725</v>
      </c>
      <c r="C8" s="3" t="s">
        <v>733</v>
      </c>
      <c r="D8" s="3"/>
      <c r="E8" s="128" t="s">
        <v>730</v>
      </c>
      <c r="F8" s="3"/>
      <c r="G8" s="3"/>
      <c r="H8" s="3"/>
      <c r="I8" s="211" t="s">
        <v>732</v>
      </c>
      <c r="J8" s="128"/>
      <c r="K8" s="3"/>
      <c r="L8" s="3"/>
      <c r="M8" s="3"/>
      <c r="N8" s="3"/>
      <c r="O8" s="3"/>
      <c r="P8" s="3"/>
      <c r="Q8" s="3"/>
      <c r="R8" s="3"/>
    </row>
    <row r="9" spans="1:18" x14ac:dyDescent="0.25">
      <c r="A9" s="207">
        <v>178.39</v>
      </c>
      <c r="B9" s="128" t="s">
        <v>725</v>
      </c>
      <c r="C9" s="3" t="s">
        <v>734</v>
      </c>
      <c r="D9" s="3"/>
      <c r="E9" s="128" t="s">
        <v>731</v>
      </c>
      <c r="F9" s="3"/>
      <c r="G9" s="3"/>
      <c r="H9" s="3"/>
      <c r="I9" s="211" t="s">
        <v>732</v>
      </c>
      <c r="J9" s="128"/>
      <c r="K9" s="3"/>
      <c r="L9" s="3"/>
      <c r="M9" s="3"/>
      <c r="N9" s="3"/>
      <c r="O9" s="3"/>
      <c r="P9" s="3"/>
      <c r="Q9" s="3"/>
      <c r="R9" s="3"/>
    </row>
    <row r="10" spans="1:18" x14ac:dyDescent="0.25">
      <c r="A10" s="207">
        <v>18</v>
      </c>
      <c r="B10" s="128" t="s">
        <v>727</v>
      </c>
      <c r="D10" s="3"/>
      <c r="E10" s="128" t="s">
        <v>735</v>
      </c>
      <c r="F10" s="3"/>
      <c r="G10" s="3"/>
      <c r="H10" s="3"/>
      <c r="I10" s="345" t="s">
        <v>726</v>
      </c>
      <c r="J10" s="128"/>
      <c r="K10" s="3"/>
      <c r="L10" s="3"/>
      <c r="M10" s="128"/>
      <c r="N10" s="3"/>
      <c r="O10" s="3"/>
      <c r="P10" s="3"/>
      <c r="Q10" s="3"/>
      <c r="R10" s="3"/>
    </row>
    <row r="11" spans="1:18" x14ac:dyDescent="0.25">
      <c r="A11" s="207">
        <f>A10*10^6</f>
        <v>18000000</v>
      </c>
      <c r="B11" s="128" t="s">
        <v>728</v>
      </c>
      <c r="C11" s="3"/>
      <c r="D11" s="3"/>
      <c r="E11" s="128" t="s">
        <v>736</v>
      </c>
      <c r="F11" s="3"/>
      <c r="G11" s="3"/>
      <c r="H11" s="3"/>
      <c r="I11" s="345" t="s">
        <v>726</v>
      </c>
      <c r="J11" s="128"/>
      <c r="K11" s="3"/>
      <c r="L11" s="3"/>
      <c r="M11" s="3"/>
      <c r="N11" s="3"/>
      <c r="O11" s="3"/>
      <c r="P11" s="3"/>
      <c r="Q11" s="3"/>
      <c r="R11" s="3"/>
    </row>
    <row r="12" spans="1:18" x14ac:dyDescent="0.25">
      <c r="A12" s="403">
        <f>A8/$A$11</f>
        <v>1.6516666666666666E-6</v>
      </c>
      <c r="B12" s="231" t="s">
        <v>729</v>
      </c>
      <c r="C12" s="3" t="s">
        <v>733</v>
      </c>
      <c r="D12" s="3"/>
      <c r="E12" s="128" t="s">
        <v>730</v>
      </c>
      <c r="F12" s="3"/>
      <c r="G12" s="3"/>
      <c r="H12" s="3"/>
      <c r="I12" s="3"/>
      <c r="J12" s="128"/>
      <c r="K12" s="3"/>
      <c r="L12" s="3"/>
      <c r="M12" s="3"/>
      <c r="N12" s="3"/>
      <c r="O12" s="3"/>
      <c r="P12" s="3"/>
      <c r="Q12" s="3"/>
      <c r="R12" s="3"/>
    </row>
    <row r="13" spans="1:18" x14ac:dyDescent="0.25">
      <c r="A13" s="403">
        <f>A9/$A$11</f>
        <v>9.9105555555555556E-6</v>
      </c>
      <c r="B13" s="231" t="s">
        <v>729</v>
      </c>
      <c r="C13" s="3" t="s">
        <v>734</v>
      </c>
      <c r="D13" s="3"/>
      <c r="E13" s="128" t="s">
        <v>731</v>
      </c>
      <c r="F13" s="3"/>
      <c r="G13" s="3"/>
      <c r="H13" s="3"/>
      <c r="I13" s="3"/>
      <c r="J13" s="128"/>
      <c r="K13" s="3"/>
      <c r="L13" s="3"/>
      <c r="M13" s="3"/>
      <c r="N13" s="3"/>
      <c r="O13" s="3"/>
      <c r="P13" s="3"/>
      <c r="Q13" s="3"/>
      <c r="R13" s="3"/>
    </row>
    <row r="14" spans="1:18" x14ac:dyDescent="0.25">
      <c r="A14" s="355"/>
      <c r="B14" s="128"/>
      <c r="C14" s="3"/>
      <c r="D14" s="3"/>
      <c r="E14" s="3"/>
      <c r="F14" s="3"/>
      <c r="G14" s="3"/>
      <c r="H14" s="3"/>
      <c r="I14" s="128"/>
      <c r="J14" s="128"/>
      <c r="K14" s="3"/>
      <c r="L14" s="3"/>
      <c r="M14" s="128"/>
      <c r="N14" s="3"/>
      <c r="O14" s="3"/>
      <c r="P14" s="3"/>
      <c r="Q14" s="3"/>
      <c r="R14" s="3"/>
    </row>
    <row r="15" spans="1:18" x14ac:dyDescent="0.25">
      <c r="A15" s="210"/>
      <c r="B15" s="128"/>
      <c r="C15" s="3"/>
      <c r="D15" s="3"/>
      <c r="E15" s="3"/>
      <c r="F15" s="3"/>
      <c r="G15" s="3"/>
      <c r="H15" s="3"/>
      <c r="I15" s="128"/>
      <c r="J15" s="128"/>
      <c r="K15" s="3"/>
      <c r="L15" s="3"/>
      <c r="M15" s="3"/>
      <c r="N15" s="3"/>
      <c r="O15" s="3"/>
      <c r="P15" s="3"/>
      <c r="Q15" s="3"/>
      <c r="R15" s="3"/>
    </row>
    <row r="16" spans="1:18" x14ac:dyDescent="0.25">
      <c r="A16" s="209"/>
      <c r="B16" s="126"/>
      <c r="C16" s="3"/>
      <c r="D16" s="3"/>
      <c r="E16" s="3"/>
      <c r="F16" s="3"/>
      <c r="G16" s="3"/>
      <c r="H16" s="3"/>
      <c r="I16" s="3"/>
      <c r="J16" s="128"/>
      <c r="K16" s="3"/>
      <c r="L16" s="3"/>
      <c r="M16" s="3"/>
      <c r="N16" s="3"/>
      <c r="O16" s="3"/>
      <c r="P16" s="3"/>
      <c r="Q16" s="211"/>
      <c r="R16" s="3"/>
    </row>
    <row r="17" spans="1:18" x14ac:dyDescent="0.25">
      <c r="A17" s="209"/>
      <c r="B17" s="126"/>
      <c r="C17" s="3"/>
      <c r="D17" s="3"/>
      <c r="E17" s="3"/>
      <c r="F17" s="3"/>
      <c r="G17" s="3"/>
      <c r="H17" s="3"/>
      <c r="I17" s="128"/>
      <c r="J17" s="128"/>
      <c r="K17" s="3"/>
      <c r="L17" s="3"/>
      <c r="M17" s="3"/>
      <c r="N17" s="3"/>
      <c r="O17" s="3"/>
      <c r="P17" s="3"/>
      <c r="Q17" s="211"/>
      <c r="R17" s="3"/>
    </row>
    <row r="18" spans="1:18" x14ac:dyDescent="0.25">
      <c r="A18" s="356"/>
    </row>
    <row r="19" spans="1:18" x14ac:dyDescent="0.25">
      <c r="A19" s="356"/>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N31"/>
  <sheetViews>
    <sheetView workbookViewId="0">
      <selection activeCell="A4" sqref="A4"/>
    </sheetView>
  </sheetViews>
  <sheetFormatPr defaultColWidth="9.140625" defaultRowHeight="12.75" x14ac:dyDescent="0.2"/>
  <cols>
    <col min="1" max="2" width="9.140625" style="125"/>
    <col min="3" max="3" width="31.7109375" style="125" customWidth="1"/>
    <col min="4" max="4" width="13.42578125" style="125" bestFit="1" customWidth="1"/>
    <col min="5" max="5" width="16.42578125" style="125" bestFit="1" customWidth="1"/>
    <col min="6" max="7" width="16.42578125" style="125" customWidth="1"/>
    <col min="8" max="8" width="23.42578125" style="125" customWidth="1"/>
    <col min="9" max="9" width="11" style="125" bestFit="1" customWidth="1"/>
    <col min="10" max="261" width="9.140625" style="125"/>
    <col min="262" max="262" width="13.42578125" style="125" bestFit="1" customWidth="1"/>
    <col min="263" max="263" width="16.42578125" style="125" bestFit="1" customWidth="1"/>
    <col min="264" max="264" width="23.42578125" style="125" customWidth="1"/>
    <col min="265" max="265" width="11" style="125" bestFit="1" customWidth="1"/>
    <col min="266" max="517" width="9.140625" style="125"/>
    <col min="518" max="518" width="13.42578125" style="125" bestFit="1" customWidth="1"/>
    <col min="519" max="519" width="16.42578125" style="125" bestFit="1" customWidth="1"/>
    <col min="520" max="520" width="23.42578125" style="125" customWidth="1"/>
    <col min="521" max="521" width="11" style="125" bestFit="1" customWidth="1"/>
    <col min="522" max="773" width="9.140625" style="125"/>
    <col min="774" max="774" width="13.42578125" style="125" bestFit="1" customWidth="1"/>
    <col min="775" max="775" width="16.42578125" style="125" bestFit="1" customWidth="1"/>
    <col min="776" max="776" width="23.42578125" style="125" customWidth="1"/>
    <col min="777" max="777" width="11" style="125" bestFit="1" customWidth="1"/>
    <col min="778" max="1029" width="9.140625" style="125"/>
    <col min="1030" max="1030" width="13.42578125" style="125" bestFit="1" customWidth="1"/>
    <col min="1031" max="1031" width="16.42578125" style="125" bestFit="1" customWidth="1"/>
    <col min="1032" max="1032" width="23.42578125" style="125" customWidth="1"/>
    <col min="1033" max="1033" width="11" style="125" bestFit="1" customWidth="1"/>
    <col min="1034" max="1285" width="9.140625" style="125"/>
    <col min="1286" max="1286" width="13.42578125" style="125" bestFit="1" customWidth="1"/>
    <col min="1287" max="1287" width="16.42578125" style="125" bestFit="1" customWidth="1"/>
    <col min="1288" max="1288" width="23.42578125" style="125" customWidth="1"/>
    <col min="1289" max="1289" width="11" style="125" bestFit="1" customWidth="1"/>
    <col min="1290" max="1541" width="9.140625" style="125"/>
    <col min="1542" max="1542" width="13.42578125" style="125" bestFit="1" customWidth="1"/>
    <col min="1543" max="1543" width="16.42578125" style="125" bestFit="1" customWidth="1"/>
    <col min="1544" max="1544" width="23.42578125" style="125" customWidth="1"/>
    <col min="1545" max="1545" width="11" style="125" bestFit="1" customWidth="1"/>
    <col min="1546" max="1797" width="9.140625" style="125"/>
    <col min="1798" max="1798" width="13.42578125" style="125" bestFit="1" customWidth="1"/>
    <col min="1799" max="1799" width="16.42578125" style="125" bestFit="1" customWidth="1"/>
    <col min="1800" max="1800" width="23.42578125" style="125" customWidth="1"/>
    <col min="1801" max="1801" width="11" style="125" bestFit="1" customWidth="1"/>
    <col min="1802" max="2053" width="9.140625" style="125"/>
    <col min="2054" max="2054" width="13.42578125" style="125" bestFit="1" customWidth="1"/>
    <col min="2055" max="2055" width="16.42578125" style="125" bestFit="1" customWidth="1"/>
    <col min="2056" max="2056" width="23.42578125" style="125" customWidth="1"/>
    <col min="2057" max="2057" width="11" style="125" bestFit="1" customWidth="1"/>
    <col min="2058" max="2309" width="9.140625" style="125"/>
    <col min="2310" max="2310" width="13.42578125" style="125" bestFit="1" customWidth="1"/>
    <col min="2311" max="2311" width="16.42578125" style="125" bestFit="1" customWidth="1"/>
    <col min="2312" max="2312" width="23.42578125" style="125" customWidth="1"/>
    <col min="2313" max="2313" width="11" style="125" bestFit="1" customWidth="1"/>
    <col min="2314" max="2565" width="9.140625" style="125"/>
    <col min="2566" max="2566" width="13.42578125" style="125" bestFit="1" customWidth="1"/>
    <col min="2567" max="2567" width="16.42578125" style="125" bestFit="1" customWidth="1"/>
    <col min="2568" max="2568" width="23.42578125" style="125" customWidth="1"/>
    <col min="2569" max="2569" width="11" style="125" bestFit="1" customWidth="1"/>
    <col min="2570" max="2821" width="9.140625" style="125"/>
    <col min="2822" max="2822" width="13.42578125" style="125" bestFit="1" customWidth="1"/>
    <col min="2823" max="2823" width="16.42578125" style="125" bestFit="1" customWidth="1"/>
    <col min="2824" max="2824" width="23.42578125" style="125" customWidth="1"/>
    <col min="2825" max="2825" width="11" style="125" bestFit="1" customWidth="1"/>
    <col min="2826" max="3077" width="9.140625" style="125"/>
    <col min="3078" max="3078" width="13.42578125" style="125" bestFit="1" customWidth="1"/>
    <col min="3079" max="3079" width="16.42578125" style="125" bestFit="1" customWidth="1"/>
    <col min="3080" max="3080" width="23.42578125" style="125" customWidth="1"/>
    <col min="3081" max="3081" width="11" style="125" bestFit="1" customWidth="1"/>
    <col min="3082" max="3333" width="9.140625" style="125"/>
    <col min="3334" max="3334" width="13.42578125" style="125" bestFit="1" customWidth="1"/>
    <col min="3335" max="3335" width="16.42578125" style="125" bestFit="1" customWidth="1"/>
    <col min="3336" max="3336" width="23.42578125" style="125" customWidth="1"/>
    <col min="3337" max="3337" width="11" style="125" bestFit="1" customWidth="1"/>
    <col min="3338" max="3589" width="9.140625" style="125"/>
    <col min="3590" max="3590" width="13.42578125" style="125" bestFit="1" customWidth="1"/>
    <col min="3591" max="3591" width="16.42578125" style="125" bestFit="1" customWidth="1"/>
    <col min="3592" max="3592" width="23.42578125" style="125" customWidth="1"/>
    <col min="3593" max="3593" width="11" style="125" bestFit="1" customWidth="1"/>
    <col min="3594" max="3845" width="9.140625" style="125"/>
    <col min="3846" max="3846" width="13.42578125" style="125" bestFit="1" customWidth="1"/>
    <col min="3847" max="3847" width="16.42578125" style="125" bestFit="1" customWidth="1"/>
    <col min="3848" max="3848" width="23.42578125" style="125" customWidth="1"/>
    <col min="3849" max="3849" width="11" style="125" bestFit="1" customWidth="1"/>
    <col min="3850" max="4101" width="9.140625" style="125"/>
    <col min="4102" max="4102" width="13.42578125" style="125" bestFit="1" customWidth="1"/>
    <col min="4103" max="4103" width="16.42578125" style="125" bestFit="1" customWidth="1"/>
    <col min="4104" max="4104" width="23.42578125" style="125" customWidth="1"/>
    <col min="4105" max="4105" width="11" style="125" bestFit="1" customWidth="1"/>
    <col min="4106" max="4357" width="9.140625" style="125"/>
    <col min="4358" max="4358" width="13.42578125" style="125" bestFit="1" customWidth="1"/>
    <col min="4359" max="4359" width="16.42578125" style="125" bestFit="1" customWidth="1"/>
    <col min="4360" max="4360" width="23.42578125" style="125" customWidth="1"/>
    <col min="4361" max="4361" width="11" style="125" bestFit="1" customWidth="1"/>
    <col min="4362" max="4613" width="9.140625" style="125"/>
    <col min="4614" max="4614" width="13.42578125" style="125" bestFit="1" customWidth="1"/>
    <col min="4615" max="4615" width="16.42578125" style="125" bestFit="1" customWidth="1"/>
    <col min="4616" max="4616" width="23.42578125" style="125" customWidth="1"/>
    <col min="4617" max="4617" width="11" style="125" bestFit="1" customWidth="1"/>
    <col min="4618" max="4869" width="9.140625" style="125"/>
    <col min="4870" max="4870" width="13.42578125" style="125" bestFit="1" customWidth="1"/>
    <col min="4871" max="4871" width="16.42578125" style="125" bestFit="1" customWidth="1"/>
    <col min="4872" max="4872" width="23.42578125" style="125" customWidth="1"/>
    <col min="4873" max="4873" width="11" style="125" bestFit="1" customWidth="1"/>
    <col min="4874" max="5125" width="9.140625" style="125"/>
    <col min="5126" max="5126" width="13.42578125" style="125" bestFit="1" customWidth="1"/>
    <col min="5127" max="5127" width="16.42578125" style="125" bestFit="1" customWidth="1"/>
    <col min="5128" max="5128" width="23.42578125" style="125" customWidth="1"/>
    <col min="5129" max="5129" width="11" style="125" bestFit="1" customWidth="1"/>
    <col min="5130" max="5381" width="9.140625" style="125"/>
    <col min="5382" max="5382" width="13.42578125" style="125" bestFit="1" customWidth="1"/>
    <col min="5383" max="5383" width="16.42578125" style="125" bestFit="1" customWidth="1"/>
    <col min="5384" max="5384" width="23.42578125" style="125" customWidth="1"/>
    <col min="5385" max="5385" width="11" style="125" bestFit="1" customWidth="1"/>
    <col min="5386" max="5637" width="9.140625" style="125"/>
    <col min="5638" max="5638" width="13.42578125" style="125" bestFit="1" customWidth="1"/>
    <col min="5639" max="5639" width="16.42578125" style="125" bestFit="1" customWidth="1"/>
    <col min="5640" max="5640" width="23.42578125" style="125" customWidth="1"/>
    <col min="5641" max="5641" width="11" style="125" bestFit="1" customWidth="1"/>
    <col min="5642" max="5893" width="9.140625" style="125"/>
    <col min="5894" max="5894" width="13.42578125" style="125" bestFit="1" customWidth="1"/>
    <col min="5895" max="5895" width="16.42578125" style="125" bestFit="1" customWidth="1"/>
    <col min="5896" max="5896" width="23.42578125" style="125" customWidth="1"/>
    <col min="5897" max="5897" width="11" style="125" bestFit="1" customWidth="1"/>
    <col min="5898" max="6149" width="9.140625" style="125"/>
    <col min="6150" max="6150" width="13.42578125" style="125" bestFit="1" customWidth="1"/>
    <col min="6151" max="6151" width="16.42578125" style="125" bestFit="1" customWidth="1"/>
    <col min="6152" max="6152" width="23.42578125" style="125" customWidth="1"/>
    <col min="6153" max="6153" width="11" style="125" bestFit="1" customWidth="1"/>
    <col min="6154" max="6405" width="9.140625" style="125"/>
    <col min="6406" max="6406" width="13.42578125" style="125" bestFit="1" customWidth="1"/>
    <col min="6407" max="6407" width="16.42578125" style="125" bestFit="1" customWidth="1"/>
    <col min="6408" max="6408" width="23.42578125" style="125" customWidth="1"/>
    <col min="6409" max="6409" width="11" style="125" bestFit="1" customWidth="1"/>
    <col min="6410" max="6661" width="9.140625" style="125"/>
    <col min="6662" max="6662" width="13.42578125" style="125" bestFit="1" customWidth="1"/>
    <col min="6663" max="6663" width="16.42578125" style="125" bestFit="1" customWidth="1"/>
    <col min="6664" max="6664" width="23.42578125" style="125" customWidth="1"/>
    <col min="6665" max="6665" width="11" style="125" bestFit="1" customWidth="1"/>
    <col min="6666" max="6917" width="9.140625" style="125"/>
    <col min="6918" max="6918" width="13.42578125" style="125" bestFit="1" customWidth="1"/>
    <col min="6919" max="6919" width="16.42578125" style="125" bestFit="1" customWidth="1"/>
    <col min="6920" max="6920" width="23.42578125" style="125" customWidth="1"/>
    <col min="6921" max="6921" width="11" style="125" bestFit="1" customWidth="1"/>
    <col min="6922" max="7173" width="9.140625" style="125"/>
    <col min="7174" max="7174" width="13.42578125" style="125" bestFit="1" customWidth="1"/>
    <col min="7175" max="7175" width="16.42578125" style="125" bestFit="1" customWidth="1"/>
    <col min="7176" max="7176" width="23.42578125" style="125" customWidth="1"/>
    <col min="7177" max="7177" width="11" style="125" bestFit="1" customWidth="1"/>
    <col min="7178" max="7429" width="9.140625" style="125"/>
    <col min="7430" max="7430" width="13.42578125" style="125" bestFit="1" customWidth="1"/>
    <col min="7431" max="7431" width="16.42578125" style="125" bestFit="1" customWidth="1"/>
    <col min="7432" max="7432" width="23.42578125" style="125" customWidth="1"/>
    <col min="7433" max="7433" width="11" style="125" bestFit="1" customWidth="1"/>
    <col min="7434" max="7685" width="9.140625" style="125"/>
    <col min="7686" max="7686" width="13.42578125" style="125" bestFit="1" customWidth="1"/>
    <col min="7687" max="7687" width="16.42578125" style="125" bestFit="1" customWidth="1"/>
    <col min="7688" max="7688" width="23.42578125" style="125" customWidth="1"/>
    <col min="7689" max="7689" width="11" style="125" bestFit="1" customWidth="1"/>
    <col min="7690" max="7941" width="9.140625" style="125"/>
    <col min="7942" max="7942" width="13.42578125" style="125" bestFit="1" customWidth="1"/>
    <col min="7943" max="7943" width="16.42578125" style="125" bestFit="1" customWidth="1"/>
    <col min="7944" max="7944" width="23.42578125" style="125" customWidth="1"/>
    <col min="7945" max="7945" width="11" style="125" bestFit="1" customWidth="1"/>
    <col min="7946" max="8197" width="9.140625" style="125"/>
    <col min="8198" max="8198" width="13.42578125" style="125" bestFit="1" customWidth="1"/>
    <col min="8199" max="8199" width="16.42578125" style="125" bestFit="1" customWidth="1"/>
    <col min="8200" max="8200" width="23.42578125" style="125" customWidth="1"/>
    <col min="8201" max="8201" width="11" style="125" bestFit="1" customWidth="1"/>
    <col min="8202" max="8453" width="9.140625" style="125"/>
    <col min="8454" max="8454" width="13.42578125" style="125" bestFit="1" customWidth="1"/>
    <col min="8455" max="8455" width="16.42578125" style="125" bestFit="1" customWidth="1"/>
    <col min="8456" max="8456" width="23.42578125" style="125" customWidth="1"/>
    <col min="8457" max="8457" width="11" style="125" bestFit="1" customWidth="1"/>
    <col min="8458" max="8709" width="9.140625" style="125"/>
    <col min="8710" max="8710" width="13.42578125" style="125" bestFit="1" customWidth="1"/>
    <col min="8711" max="8711" width="16.42578125" style="125" bestFit="1" customWidth="1"/>
    <col min="8712" max="8712" width="23.42578125" style="125" customWidth="1"/>
    <col min="8713" max="8713" width="11" style="125" bestFit="1" customWidth="1"/>
    <col min="8714" max="8965" width="9.140625" style="125"/>
    <col min="8966" max="8966" width="13.42578125" style="125" bestFit="1" customWidth="1"/>
    <col min="8967" max="8967" width="16.42578125" style="125" bestFit="1" customWidth="1"/>
    <col min="8968" max="8968" width="23.42578125" style="125" customWidth="1"/>
    <col min="8969" max="8969" width="11" style="125" bestFit="1" customWidth="1"/>
    <col min="8970" max="9221" width="9.140625" style="125"/>
    <col min="9222" max="9222" width="13.42578125" style="125" bestFit="1" customWidth="1"/>
    <col min="9223" max="9223" width="16.42578125" style="125" bestFit="1" customWidth="1"/>
    <col min="9224" max="9224" width="23.42578125" style="125" customWidth="1"/>
    <col min="9225" max="9225" width="11" style="125" bestFit="1" customWidth="1"/>
    <col min="9226" max="9477" width="9.140625" style="125"/>
    <col min="9478" max="9478" width="13.42578125" style="125" bestFit="1" customWidth="1"/>
    <col min="9479" max="9479" width="16.42578125" style="125" bestFit="1" customWidth="1"/>
    <col min="9480" max="9480" width="23.42578125" style="125" customWidth="1"/>
    <col min="9481" max="9481" width="11" style="125" bestFit="1" customWidth="1"/>
    <col min="9482" max="9733" width="9.140625" style="125"/>
    <col min="9734" max="9734" width="13.42578125" style="125" bestFit="1" customWidth="1"/>
    <col min="9735" max="9735" width="16.42578125" style="125" bestFit="1" customWidth="1"/>
    <col min="9736" max="9736" width="23.42578125" style="125" customWidth="1"/>
    <col min="9737" max="9737" width="11" style="125" bestFit="1" customWidth="1"/>
    <col min="9738" max="9989" width="9.140625" style="125"/>
    <col min="9990" max="9990" width="13.42578125" style="125" bestFit="1" customWidth="1"/>
    <col min="9991" max="9991" width="16.42578125" style="125" bestFit="1" customWidth="1"/>
    <col min="9992" max="9992" width="23.42578125" style="125" customWidth="1"/>
    <col min="9993" max="9993" width="11" style="125" bestFit="1" customWidth="1"/>
    <col min="9994" max="10245" width="9.140625" style="125"/>
    <col min="10246" max="10246" width="13.42578125" style="125" bestFit="1" customWidth="1"/>
    <col min="10247" max="10247" width="16.42578125" style="125" bestFit="1" customWidth="1"/>
    <col min="10248" max="10248" width="23.42578125" style="125" customWidth="1"/>
    <col min="10249" max="10249" width="11" style="125" bestFit="1" customWidth="1"/>
    <col min="10250" max="10501" width="9.140625" style="125"/>
    <col min="10502" max="10502" width="13.42578125" style="125" bestFit="1" customWidth="1"/>
    <col min="10503" max="10503" width="16.42578125" style="125" bestFit="1" customWidth="1"/>
    <col min="10504" max="10504" width="23.42578125" style="125" customWidth="1"/>
    <col min="10505" max="10505" width="11" style="125" bestFit="1" customWidth="1"/>
    <col min="10506" max="10757" width="9.140625" style="125"/>
    <col min="10758" max="10758" width="13.42578125" style="125" bestFit="1" customWidth="1"/>
    <col min="10759" max="10759" width="16.42578125" style="125" bestFit="1" customWidth="1"/>
    <col min="10760" max="10760" width="23.42578125" style="125" customWidth="1"/>
    <col min="10761" max="10761" width="11" style="125" bestFit="1" customWidth="1"/>
    <col min="10762" max="11013" width="9.140625" style="125"/>
    <col min="11014" max="11014" width="13.42578125" style="125" bestFit="1" customWidth="1"/>
    <col min="11015" max="11015" width="16.42578125" style="125" bestFit="1" customWidth="1"/>
    <col min="11016" max="11016" width="23.42578125" style="125" customWidth="1"/>
    <col min="11017" max="11017" width="11" style="125" bestFit="1" customWidth="1"/>
    <col min="11018" max="11269" width="9.140625" style="125"/>
    <col min="11270" max="11270" width="13.42578125" style="125" bestFit="1" customWidth="1"/>
    <col min="11271" max="11271" width="16.42578125" style="125" bestFit="1" customWidth="1"/>
    <col min="11272" max="11272" width="23.42578125" style="125" customWidth="1"/>
    <col min="11273" max="11273" width="11" style="125" bestFit="1" customWidth="1"/>
    <col min="11274" max="11525" width="9.140625" style="125"/>
    <col min="11526" max="11526" width="13.42578125" style="125" bestFit="1" customWidth="1"/>
    <col min="11527" max="11527" width="16.42578125" style="125" bestFit="1" customWidth="1"/>
    <col min="11528" max="11528" width="23.42578125" style="125" customWidth="1"/>
    <col min="11529" max="11529" width="11" style="125" bestFit="1" customWidth="1"/>
    <col min="11530" max="11781" width="9.140625" style="125"/>
    <col min="11782" max="11782" width="13.42578125" style="125" bestFit="1" customWidth="1"/>
    <col min="11783" max="11783" width="16.42578125" style="125" bestFit="1" customWidth="1"/>
    <col min="11784" max="11784" width="23.42578125" style="125" customWidth="1"/>
    <col min="11785" max="11785" width="11" style="125" bestFit="1" customWidth="1"/>
    <col min="11786" max="12037" width="9.140625" style="125"/>
    <col min="12038" max="12038" width="13.42578125" style="125" bestFit="1" customWidth="1"/>
    <col min="12039" max="12039" width="16.42578125" style="125" bestFit="1" customWidth="1"/>
    <col min="12040" max="12040" width="23.42578125" style="125" customWidth="1"/>
    <col min="12041" max="12041" width="11" style="125" bestFit="1" customWidth="1"/>
    <col min="12042" max="12293" width="9.140625" style="125"/>
    <col min="12294" max="12294" width="13.42578125" style="125" bestFit="1" customWidth="1"/>
    <col min="12295" max="12295" width="16.42578125" style="125" bestFit="1" customWidth="1"/>
    <col min="12296" max="12296" width="23.42578125" style="125" customWidth="1"/>
    <col min="12297" max="12297" width="11" style="125" bestFit="1" customWidth="1"/>
    <col min="12298" max="12549" width="9.140625" style="125"/>
    <col min="12550" max="12550" width="13.42578125" style="125" bestFit="1" customWidth="1"/>
    <col min="12551" max="12551" width="16.42578125" style="125" bestFit="1" customWidth="1"/>
    <col min="12552" max="12552" width="23.42578125" style="125" customWidth="1"/>
    <col min="12553" max="12553" width="11" style="125" bestFit="1" customWidth="1"/>
    <col min="12554" max="12805" width="9.140625" style="125"/>
    <col min="12806" max="12806" width="13.42578125" style="125" bestFit="1" customWidth="1"/>
    <col min="12807" max="12807" width="16.42578125" style="125" bestFit="1" customWidth="1"/>
    <col min="12808" max="12808" width="23.42578125" style="125" customWidth="1"/>
    <col min="12809" max="12809" width="11" style="125" bestFit="1" customWidth="1"/>
    <col min="12810" max="13061" width="9.140625" style="125"/>
    <col min="13062" max="13062" width="13.42578125" style="125" bestFit="1" customWidth="1"/>
    <col min="13063" max="13063" width="16.42578125" style="125" bestFit="1" customWidth="1"/>
    <col min="13064" max="13064" width="23.42578125" style="125" customWidth="1"/>
    <col min="13065" max="13065" width="11" style="125" bestFit="1" customWidth="1"/>
    <col min="13066" max="13317" width="9.140625" style="125"/>
    <col min="13318" max="13318" width="13.42578125" style="125" bestFit="1" customWidth="1"/>
    <col min="13319" max="13319" width="16.42578125" style="125" bestFit="1" customWidth="1"/>
    <col min="13320" max="13320" width="23.42578125" style="125" customWidth="1"/>
    <col min="13321" max="13321" width="11" style="125" bestFit="1" customWidth="1"/>
    <col min="13322" max="13573" width="9.140625" style="125"/>
    <col min="13574" max="13574" width="13.42578125" style="125" bestFit="1" customWidth="1"/>
    <col min="13575" max="13575" width="16.42578125" style="125" bestFit="1" customWidth="1"/>
    <col min="13576" max="13576" width="23.42578125" style="125" customWidth="1"/>
    <col min="13577" max="13577" width="11" style="125" bestFit="1" customWidth="1"/>
    <col min="13578" max="13829" width="9.140625" style="125"/>
    <col min="13830" max="13830" width="13.42578125" style="125" bestFit="1" customWidth="1"/>
    <col min="13831" max="13831" width="16.42578125" style="125" bestFit="1" customWidth="1"/>
    <col min="13832" max="13832" width="23.42578125" style="125" customWidth="1"/>
    <col min="13833" max="13833" width="11" style="125" bestFit="1" customWidth="1"/>
    <col min="13834" max="14085" width="9.140625" style="125"/>
    <col min="14086" max="14086" width="13.42578125" style="125" bestFit="1" customWidth="1"/>
    <col min="14087" max="14087" width="16.42578125" style="125" bestFit="1" customWidth="1"/>
    <col min="14088" max="14088" width="23.42578125" style="125" customWidth="1"/>
    <col min="14089" max="14089" width="11" style="125" bestFit="1" customWidth="1"/>
    <col min="14090" max="14341" width="9.140625" style="125"/>
    <col min="14342" max="14342" width="13.42578125" style="125" bestFit="1" customWidth="1"/>
    <col min="14343" max="14343" width="16.42578125" style="125" bestFit="1" customWidth="1"/>
    <col min="14344" max="14344" width="23.42578125" style="125" customWidth="1"/>
    <col min="14345" max="14345" width="11" style="125" bestFit="1" customWidth="1"/>
    <col min="14346" max="14597" width="9.140625" style="125"/>
    <col min="14598" max="14598" width="13.42578125" style="125" bestFit="1" customWidth="1"/>
    <col min="14599" max="14599" width="16.42578125" style="125" bestFit="1" customWidth="1"/>
    <col min="14600" max="14600" width="23.42578125" style="125" customWidth="1"/>
    <col min="14601" max="14601" width="11" style="125" bestFit="1" customWidth="1"/>
    <col min="14602" max="14853" width="9.140625" style="125"/>
    <col min="14854" max="14854" width="13.42578125" style="125" bestFit="1" customWidth="1"/>
    <col min="14855" max="14855" width="16.42578125" style="125" bestFit="1" customWidth="1"/>
    <col min="14856" max="14856" width="23.42578125" style="125" customWidth="1"/>
    <col min="14857" max="14857" width="11" style="125" bestFit="1" customWidth="1"/>
    <col min="14858" max="15109" width="9.140625" style="125"/>
    <col min="15110" max="15110" width="13.42578125" style="125" bestFit="1" customWidth="1"/>
    <col min="15111" max="15111" width="16.42578125" style="125" bestFit="1" customWidth="1"/>
    <col min="15112" max="15112" width="23.42578125" style="125" customWidth="1"/>
    <col min="15113" max="15113" width="11" style="125" bestFit="1" customWidth="1"/>
    <col min="15114" max="15365" width="9.140625" style="125"/>
    <col min="15366" max="15366" width="13.42578125" style="125" bestFit="1" customWidth="1"/>
    <col min="15367" max="15367" width="16.42578125" style="125" bestFit="1" customWidth="1"/>
    <col min="15368" max="15368" width="23.42578125" style="125" customWidth="1"/>
    <col min="15369" max="15369" width="11" style="125" bestFit="1" customWidth="1"/>
    <col min="15370" max="15621" width="9.140625" style="125"/>
    <col min="15622" max="15622" width="13.42578125" style="125" bestFit="1" customWidth="1"/>
    <col min="15623" max="15623" width="16.42578125" style="125" bestFit="1" customWidth="1"/>
    <col min="15624" max="15624" width="23.42578125" style="125" customWidth="1"/>
    <col min="15625" max="15625" width="11" style="125" bestFit="1" customWidth="1"/>
    <col min="15626" max="15877" width="9.140625" style="125"/>
    <col min="15878" max="15878" width="13.42578125" style="125" bestFit="1" customWidth="1"/>
    <col min="15879" max="15879" width="16.42578125" style="125" bestFit="1" customWidth="1"/>
    <col min="15880" max="15880" width="23.42578125" style="125" customWidth="1"/>
    <col min="15881" max="15881" width="11" style="125" bestFit="1" customWidth="1"/>
    <col min="15882" max="16133" width="9.140625" style="125"/>
    <col min="16134" max="16134" width="13.42578125" style="125" bestFit="1" customWidth="1"/>
    <col min="16135" max="16135" width="16.42578125" style="125" bestFit="1" customWidth="1"/>
    <col min="16136" max="16136" width="23.42578125" style="125" customWidth="1"/>
    <col min="16137" max="16137" width="11" style="125" bestFit="1" customWidth="1"/>
    <col min="16138" max="16384" width="9.140625" style="125"/>
  </cols>
  <sheetData>
    <row r="1" spans="1:40" ht="20.25" x14ac:dyDescent="0.3">
      <c r="A1" s="126"/>
      <c r="B1" s="127"/>
      <c r="C1" s="126"/>
      <c r="D1" s="127"/>
      <c r="E1" s="126"/>
      <c r="F1" s="126"/>
      <c r="G1" s="126"/>
      <c r="H1" s="126"/>
      <c r="I1" s="126"/>
      <c r="J1" s="66" t="s">
        <v>43</v>
      </c>
      <c r="K1" s="128"/>
      <c r="L1" s="128"/>
      <c r="M1" s="128"/>
      <c r="N1" s="128"/>
      <c r="O1" s="128"/>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row>
    <row r="2" spans="1:40" x14ac:dyDescent="0.2">
      <c r="A2" s="128"/>
      <c r="B2" s="588"/>
      <c r="C2" s="588"/>
      <c r="D2" s="588"/>
      <c r="E2" s="588"/>
      <c r="F2" s="203"/>
      <c r="G2" s="203"/>
      <c r="H2" s="129"/>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row>
    <row r="3" spans="1:40" x14ac:dyDescent="0.2">
      <c r="A3" s="128"/>
      <c r="B3" s="589" t="s">
        <v>141</v>
      </c>
      <c r="C3" s="589"/>
      <c r="D3" s="589"/>
      <c r="E3" s="589"/>
      <c r="F3" s="204"/>
      <c r="G3" s="204"/>
      <c r="H3" s="185" t="s">
        <v>76</v>
      </c>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row>
    <row r="4" spans="1:40" x14ac:dyDescent="0.2">
      <c r="A4" s="128"/>
      <c r="C4" s="125" t="s">
        <v>232</v>
      </c>
      <c r="D4" s="125">
        <f>CONVERT(2000,"lbm","kg")</f>
        <v>907.18474000000003</v>
      </c>
      <c r="E4" s="125" t="s">
        <v>57</v>
      </c>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row>
    <row r="5" spans="1:40" x14ac:dyDescent="0.2">
      <c r="A5" s="128"/>
      <c r="C5" s="125" t="s">
        <v>313</v>
      </c>
      <c r="D5" s="198">
        <f>CONVERT(1,"kg","lbm")</f>
        <v>2.2046226218487757</v>
      </c>
      <c r="E5" s="125" t="s">
        <v>314</v>
      </c>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row>
    <row r="6" spans="1:40" x14ac:dyDescent="0.2">
      <c r="A6" s="128"/>
      <c r="C6" s="125" t="s">
        <v>315</v>
      </c>
      <c r="D6" s="125">
        <f>CONVERT(1,"gal","l")</f>
        <v>3.7854117839999999</v>
      </c>
      <c r="E6" s="134" t="s">
        <v>316</v>
      </c>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row>
    <row r="7" spans="1:40" x14ac:dyDescent="0.2">
      <c r="A7" s="128"/>
      <c r="B7" s="131"/>
      <c r="C7" s="134" t="s">
        <v>308</v>
      </c>
      <c r="D7" s="125">
        <v>7.09</v>
      </c>
      <c r="E7" s="134" t="s">
        <v>309</v>
      </c>
      <c r="F7" s="134"/>
      <c r="G7" s="134"/>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row>
    <row r="8" spans="1:40" x14ac:dyDescent="0.2">
      <c r="A8" s="128"/>
      <c r="B8" s="131"/>
      <c r="C8" s="134" t="s">
        <v>308</v>
      </c>
      <c r="D8" s="125">
        <v>3167</v>
      </c>
      <c r="E8" s="134" t="s">
        <v>896</v>
      </c>
      <c r="F8" s="134"/>
      <c r="G8" s="134"/>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row>
    <row r="9" spans="1:40" x14ac:dyDescent="0.2">
      <c r="A9" s="128"/>
      <c r="B9" s="130"/>
      <c r="C9" s="134" t="s">
        <v>308</v>
      </c>
      <c r="D9" s="198">
        <f>D8/1000</f>
        <v>3.1669999999999998</v>
      </c>
      <c r="E9" s="134" t="s">
        <v>310</v>
      </c>
      <c r="F9" s="134"/>
      <c r="G9" s="134"/>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row>
    <row r="10" spans="1:40" x14ac:dyDescent="0.2">
      <c r="A10" s="128"/>
      <c r="B10" s="131"/>
      <c r="C10" s="134" t="s">
        <v>308</v>
      </c>
      <c r="D10" s="198">
        <f>D9/$D$6</f>
        <v>0.83663288981825601</v>
      </c>
      <c r="E10" s="134" t="s">
        <v>311</v>
      </c>
      <c r="F10" s="134"/>
      <c r="G10" s="134"/>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row>
    <row r="11" spans="1:40" x14ac:dyDescent="0.2">
      <c r="A11" s="128"/>
      <c r="B11" s="130"/>
      <c r="C11" s="134" t="s">
        <v>308</v>
      </c>
      <c r="D11" s="425">
        <v>137380</v>
      </c>
      <c r="E11" s="125" t="s">
        <v>897</v>
      </c>
      <c r="F11" s="219">
        <f>D11/D9</f>
        <v>43378.591727186613</v>
      </c>
      <c r="G11" s="125" t="s">
        <v>312</v>
      </c>
      <c r="H11" s="220">
        <v>22</v>
      </c>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row>
    <row r="12" spans="1:40" x14ac:dyDescent="0.2">
      <c r="A12" s="128"/>
      <c r="B12" s="132"/>
      <c r="C12" s="134" t="s">
        <v>317</v>
      </c>
      <c r="D12" s="199">
        <v>42</v>
      </c>
      <c r="E12" s="134" t="s">
        <v>318</v>
      </c>
      <c r="G12" s="134"/>
      <c r="J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row>
    <row r="13" spans="1:40" x14ac:dyDescent="0.2">
      <c r="A13" s="128"/>
      <c r="B13" s="132"/>
      <c r="C13" s="125" t="s">
        <v>373</v>
      </c>
      <c r="D13" s="125">
        <v>45</v>
      </c>
      <c r="E13" s="134" t="s">
        <v>374</v>
      </c>
      <c r="H13" s="220">
        <v>11</v>
      </c>
      <c r="J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row>
    <row r="14" spans="1:40" x14ac:dyDescent="0.2">
      <c r="A14" s="128"/>
      <c r="B14" s="132"/>
      <c r="C14" s="125" t="s">
        <v>375</v>
      </c>
      <c r="D14" s="219">
        <v>27</v>
      </c>
      <c r="E14" s="134" t="s">
        <v>376</v>
      </c>
      <c r="G14" s="134"/>
      <c r="J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row>
    <row r="15" spans="1:40" x14ac:dyDescent="0.2">
      <c r="A15" s="128"/>
      <c r="B15" s="133"/>
      <c r="C15" s="125" t="s">
        <v>387</v>
      </c>
      <c r="D15" s="233">
        <f>D13*D14/D5</f>
        <v>551.11472954999999</v>
      </c>
      <c r="E15" s="134" t="s">
        <v>57</v>
      </c>
      <c r="G15" s="134"/>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row>
    <row r="16" spans="1:40" x14ac:dyDescent="0.2">
      <c r="A16" s="128"/>
      <c r="C16" s="125" t="s">
        <v>386</v>
      </c>
      <c r="D16" s="125">
        <v>365</v>
      </c>
      <c r="E16" s="125" t="s">
        <v>385</v>
      </c>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row>
    <row r="17" spans="1:40" x14ac:dyDescent="0.2">
      <c r="A17" s="128"/>
      <c r="C17" s="125" t="s">
        <v>384</v>
      </c>
      <c r="D17" s="219">
        <v>43560</v>
      </c>
      <c r="E17" s="134" t="s">
        <v>322</v>
      </c>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row>
    <row r="18" spans="1:40" x14ac:dyDescent="0.2">
      <c r="A18" s="128"/>
      <c r="C18" s="125" t="s">
        <v>388</v>
      </c>
      <c r="D18" s="134">
        <f>CONVERT(1,"ft","mm")</f>
        <v>304.8</v>
      </c>
      <c r="E18" s="134" t="s">
        <v>330</v>
      </c>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row>
    <row r="19" spans="1:40" x14ac:dyDescent="0.2">
      <c r="A19" s="128"/>
      <c r="C19" s="125" t="s">
        <v>389</v>
      </c>
      <c r="D19" s="125">
        <f>CONVERT(1,"mi","ft")</f>
        <v>5280</v>
      </c>
      <c r="E19" s="134" t="s">
        <v>322</v>
      </c>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row>
    <row r="20" spans="1:40" x14ac:dyDescent="0.2">
      <c r="A20" s="128"/>
      <c r="C20" s="125" t="s">
        <v>390</v>
      </c>
      <c r="D20" s="125">
        <v>24</v>
      </c>
      <c r="E20" s="125" t="s">
        <v>391</v>
      </c>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row>
    <row r="21" spans="1:40" x14ac:dyDescent="0.2">
      <c r="A21" s="128"/>
      <c r="B21" s="135"/>
      <c r="C21" s="136"/>
      <c r="D21" s="134"/>
      <c r="E21" s="134"/>
      <c r="F21" s="134"/>
      <c r="G21" s="134"/>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row>
    <row r="22" spans="1:40" x14ac:dyDescent="0.2">
      <c r="A22" s="128"/>
      <c r="B22" s="135"/>
      <c r="C22" s="136"/>
      <c r="D22" s="134"/>
      <c r="E22" s="134"/>
      <c r="F22" s="134"/>
      <c r="G22" s="134"/>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row>
    <row r="23" spans="1:40" x14ac:dyDescent="0.2">
      <c r="B23" s="135"/>
      <c r="C23" s="128"/>
      <c r="D23" s="128"/>
      <c r="E23" s="128"/>
      <c r="F23" s="128"/>
      <c r="G23" s="128"/>
    </row>
    <row r="24" spans="1:40" x14ac:dyDescent="0.2">
      <c r="B24" s="135"/>
      <c r="C24" s="128"/>
      <c r="D24" s="128"/>
      <c r="E24" s="128"/>
      <c r="F24" s="128"/>
      <c r="G24" s="128"/>
    </row>
    <row r="25" spans="1:40" x14ac:dyDescent="0.2">
      <c r="B25" s="132"/>
      <c r="C25" s="128"/>
      <c r="D25" s="128"/>
      <c r="E25" s="128"/>
      <c r="F25" s="128"/>
      <c r="G25" s="128"/>
    </row>
    <row r="31" spans="1:40" x14ac:dyDescent="0.2">
      <c r="L31" s="137"/>
    </row>
  </sheetData>
  <mergeCells count="2">
    <mergeCell ref="B2:E2"/>
    <mergeCell ref="B3:E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8"/>
  <sheetViews>
    <sheetView workbookViewId="0">
      <selection activeCell="G29" sqref="G29"/>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0"/>
      <c r="B1" s="10"/>
      <c r="C1" s="10"/>
      <c r="D1" s="10"/>
      <c r="E1" s="10"/>
      <c r="F1" s="10"/>
      <c r="G1" s="10"/>
      <c r="H1" s="66" t="s">
        <v>45</v>
      </c>
      <c r="N1" s="10"/>
      <c r="O1" s="10"/>
      <c r="P1" s="10"/>
      <c r="Q1" s="10"/>
      <c r="R1" s="10"/>
      <c r="S1" s="10"/>
      <c r="T1" s="10"/>
      <c r="U1" s="10"/>
      <c r="V1" s="10"/>
      <c r="W1" s="10"/>
      <c r="X1" s="10"/>
      <c r="Y1" s="10"/>
      <c r="Z1" s="10"/>
      <c r="AA1" s="10"/>
      <c r="AB1" s="10"/>
      <c r="AC1" s="10"/>
      <c r="AD1" s="10"/>
      <c r="AE1" s="10"/>
      <c r="AF1" s="10"/>
      <c r="AG1" s="10"/>
      <c r="AH1" s="10"/>
      <c r="AI1" s="10"/>
      <c r="AJ1" s="10"/>
      <c r="AK1" s="10"/>
      <c r="AL1" s="10"/>
    </row>
    <row r="3" spans="1:38" x14ac:dyDescent="0.2">
      <c r="C3" s="129" t="s">
        <v>142</v>
      </c>
      <c r="D3" s="129" t="s">
        <v>14</v>
      </c>
    </row>
    <row r="4" spans="1:38" ht="12.75" customHeight="1" x14ac:dyDescent="0.2">
      <c r="C4" s="138">
        <v>1</v>
      </c>
      <c r="D4" s="591" t="s">
        <v>451</v>
      </c>
      <c r="E4" s="591"/>
      <c r="F4" s="591"/>
      <c r="G4" s="591"/>
      <c r="H4" s="591"/>
      <c r="I4" s="591"/>
      <c r="J4" s="591"/>
      <c r="K4" s="591"/>
      <c r="L4" s="591"/>
    </row>
    <row r="5" spans="1:38" x14ac:dyDescent="0.2">
      <c r="C5" s="138">
        <v>2</v>
      </c>
      <c r="D5" s="591" t="s">
        <v>250</v>
      </c>
      <c r="E5" s="591"/>
      <c r="F5" s="591"/>
      <c r="G5" s="591"/>
      <c r="H5" s="591"/>
      <c r="I5" s="591"/>
      <c r="J5" s="591"/>
      <c r="K5" s="591"/>
      <c r="L5" s="591"/>
    </row>
    <row r="6" spans="1:38" ht="25.5" customHeight="1" x14ac:dyDescent="0.2">
      <c r="C6" s="138">
        <v>3</v>
      </c>
      <c r="D6" s="591" t="s">
        <v>723</v>
      </c>
      <c r="E6" s="591"/>
      <c r="F6" s="591"/>
      <c r="G6" s="591"/>
      <c r="H6" s="591"/>
      <c r="I6" s="591"/>
      <c r="J6" s="591"/>
      <c r="K6" s="591"/>
      <c r="L6" s="591"/>
    </row>
    <row r="7" spans="1:38" x14ac:dyDescent="0.2">
      <c r="C7" s="138">
        <v>4</v>
      </c>
      <c r="D7" s="591" t="s">
        <v>353</v>
      </c>
      <c r="E7" s="591"/>
      <c r="F7" s="591"/>
      <c r="G7" s="591"/>
      <c r="H7" s="591"/>
      <c r="I7" s="591"/>
      <c r="J7" s="591"/>
      <c r="K7" s="591"/>
      <c r="L7" s="591"/>
    </row>
    <row r="8" spans="1:38" x14ac:dyDescent="0.2">
      <c r="C8" s="138">
        <v>5</v>
      </c>
      <c r="D8" s="591" t="s">
        <v>354</v>
      </c>
      <c r="E8" s="591"/>
      <c r="F8" s="591"/>
      <c r="G8" s="591"/>
      <c r="H8" s="591"/>
      <c r="I8" s="591"/>
      <c r="J8" s="591"/>
      <c r="K8" s="591"/>
      <c r="L8" s="591"/>
    </row>
    <row r="9" spans="1:38" x14ac:dyDescent="0.2">
      <c r="C9" s="138">
        <v>6</v>
      </c>
      <c r="D9" s="591" t="s">
        <v>355</v>
      </c>
      <c r="E9" s="591"/>
      <c r="F9" s="591"/>
      <c r="G9" s="591"/>
      <c r="H9" s="591"/>
      <c r="I9" s="591"/>
      <c r="J9" s="591"/>
      <c r="K9" s="591"/>
      <c r="L9" s="591"/>
    </row>
    <row r="10" spans="1:38" x14ac:dyDescent="0.2">
      <c r="C10" s="138">
        <v>7</v>
      </c>
      <c r="D10" s="591" t="s">
        <v>410</v>
      </c>
      <c r="E10" s="591"/>
      <c r="F10" s="591"/>
      <c r="G10" s="591"/>
      <c r="H10" s="591"/>
      <c r="I10" s="591"/>
      <c r="J10" s="591"/>
      <c r="K10" s="591"/>
      <c r="L10" s="591"/>
    </row>
    <row r="11" spans="1:38" ht="12.75" customHeight="1" x14ac:dyDescent="0.2">
      <c r="C11" s="138">
        <v>8</v>
      </c>
      <c r="D11" s="591" t="s">
        <v>450</v>
      </c>
      <c r="E11" s="591"/>
      <c r="F11" s="591"/>
      <c r="G11" s="591"/>
      <c r="H11" s="591"/>
      <c r="I11" s="591"/>
      <c r="J11" s="591"/>
      <c r="K11" s="591"/>
      <c r="L11" s="591"/>
    </row>
    <row r="12" spans="1:38" x14ac:dyDescent="0.2">
      <c r="C12" s="138">
        <v>9</v>
      </c>
      <c r="D12" s="591" t="s">
        <v>657</v>
      </c>
      <c r="E12" s="591"/>
      <c r="F12" s="591"/>
      <c r="G12" s="591"/>
      <c r="H12" s="591"/>
      <c r="I12" s="591"/>
      <c r="J12" s="591"/>
      <c r="K12" s="591"/>
      <c r="L12" s="591"/>
    </row>
    <row r="13" spans="1:38" x14ac:dyDescent="0.2">
      <c r="C13" s="138">
        <v>10</v>
      </c>
      <c r="D13" s="591" t="s">
        <v>659</v>
      </c>
      <c r="E13" s="591"/>
      <c r="F13" s="591"/>
      <c r="G13" s="591"/>
      <c r="H13" s="591"/>
      <c r="I13" s="591"/>
      <c r="J13" s="591"/>
      <c r="K13" s="591"/>
      <c r="L13" s="591"/>
    </row>
    <row r="14" spans="1:38" x14ac:dyDescent="0.2">
      <c r="C14" s="138">
        <v>11</v>
      </c>
      <c r="D14" s="591" t="s">
        <v>720</v>
      </c>
      <c r="E14" s="591"/>
      <c r="F14" s="591"/>
      <c r="G14" s="591"/>
      <c r="H14" s="591"/>
      <c r="I14" s="591"/>
      <c r="J14" s="591"/>
      <c r="K14" s="591"/>
      <c r="L14" s="591"/>
    </row>
    <row r="15" spans="1:38" x14ac:dyDescent="0.2">
      <c r="C15" s="138">
        <v>12</v>
      </c>
      <c r="D15" s="591" t="s">
        <v>857</v>
      </c>
      <c r="E15" s="591"/>
      <c r="F15" s="591"/>
      <c r="G15" s="591"/>
      <c r="H15" s="591"/>
      <c r="I15" s="591"/>
      <c r="J15" s="591"/>
      <c r="K15" s="591"/>
      <c r="L15" s="591"/>
    </row>
    <row r="16" spans="1:38" ht="27" customHeight="1" x14ac:dyDescent="0.2">
      <c r="C16" s="138">
        <v>13</v>
      </c>
      <c r="D16" s="591" t="s">
        <v>875</v>
      </c>
      <c r="E16" s="591"/>
      <c r="F16" s="591"/>
      <c r="G16" s="591"/>
      <c r="H16" s="591"/>
      <c r="I16" s="591"/>
      <c r="J16" s="591"/>
      <c r="K16" s="591"/>
      <c r="L16" s="591"/>
    </row>
    <row r="17" spans="3:12" x14ac:dyDescent="0.2">
      <c r="C17" s="138">
        <v>14</v>
      </c>
      <c r="D17" s="591" t="s">
        <v>882</v>
      </c>
      <c r="E17" s="591"/>
      <c r="F17" s="591"/>
      <c r="G17" s="591"/>
      <c r="H17" s="591"/>
      <c r="I17" s="591"/>
      <c r="J17" s="591"/>
      <c r="K17" s="591"/>
      <c r="L17" s="591"/>
    </row>
    <row r="18" spans="3:12" s="128" customFormat="1" ht="45.75" customHeight="1" x14ac:dyDescent="0.2">
      <c r="C18" s="138">
        <v>15</v>
      </c>
      <c r="D18" s="590" t="s">
        <v>972</v>
      </c>
      <c r="E18" s="590"/>
      <c r="F18" s="590"/>
      <c r="G18" s="590"/>
      <c r="H18" s="590"/>
      <c r="I18" s="590"/>
      <c r="J18" s="590"/>
      <c r="K18" s="590"/>
      <c r="L18" s="590"/>
    </row>
  </sheetData>
  <mergeCells count="15">
    <mergeCell ref="D4:L4"/>
    <mergeCell ref="D10:L10"/>
    <mergeCell ref="D11:L11"/>
    <mergeCell ref="D12:L12"/>
    <mergeCell ref="D13:L13"/>
    <mergeCell ref="D5:L5"/>
    <mergeCell ref="D6:L6"/>
    <mergeCell ref="D7:L7"/>
    <mergeCell ref="D8:L8"/>
    <mergeCell ref="D9:L9"/>
    <mergeCell ref="D18:L18"/>
    <mergeCell ref="D16:L16"/>
    <mergeCell ref="D17:L17"/>
    <mergeCell ref="D15:L15"/>
    <mergeCell ref="D14:L14"/>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zoomScale="85" zoomScaleNormal="85" workbookViewId="0">
      <selection sqref="A1:M42"/>
    </sheetView>
  </sheetViews>
  <sheetFormatPr defaultRowHeight="15" x14ac:dyDescent="0.25"/>
  <sheetData>
    <row r="1" spans="1:13" x14ac:dyDescent="0.25">
      <c r="A1" s="447"/>
      <c r="B1" s="447"/>
      <c r="C1" s="447"/>
      <c r="D1" s="447"/>
      <c r="E1" s="447"/>
      <c r="F1" s="447"/>
      <c r="G1" s="447"/>
      <c r="H1" s="447"/>
      <c r="I1" s="447"/>
      <c r="J1" s="447"/>
      <c r="K1" s="447"/>
      <c r="L1" s="447"/>
      <c r="M1" s="447"/>
    </row>
    <row r="2" spans="1:13" x14ac:dyDescent="0.25">
      <c r="A2" s="447"/>
      <c r="B2" s="447"/>
      <c r="C2" s="447"/>
      <c r="D2" s="447"/>
      <c r="E2" s="447"/>
      <c r="F2" s="447"/>
      <c r="G2" s="447"/>
      <c r="H2" s="447"/>
      <c r="I2" s="447"/>
      <c r="J2" s="447"/>
      <c r="K2" s="447"/>
      <c r="L2" s="447"/>
      <c r="M2" s="447"/>
    </row>
    <row r="3" spans="1:13" x14ac:dyDescent="0.25">
      <c r="A3" s="447"/>
      <c r="B3" s="447"/>
      <c r="C3" s="447"/>
      <c r="D3" s="447"/>
      <c r="E3" s="447"/>
      <c r="F3" s="447"/>
      <c r="G3" s="447"/>
      <c r="H3" s="447"/>
      <c r="I3" s="447"/>
      <c r="J3" s="447"/>
      <c r="K3" s="447"/>
      <c r="L3" s="447"/>
      <c r="M3" s="447"/>
    </row>
    <row r="4" spans="1:13" x14ac:dyDescent="0.25">
      <c r="A4" s="447"/>
      <c r="B4" s="447"/>
      <c r="C4" s="447"/>
      <c r="D4" s="447"/>
      <c r="E4" s="447"/>
      <c r="F4" s="447"/>
      <c r="G4" s="447"/>
      <c r="H4" s="447"/>
      <c r="I4" s="447"/>
      <c r="J4" s="447"/>
      <c r="K4" s="447"/>
      <c r="L4" s="447"/>
      <c r="M4" s="447"/>
    </row>
    <row r="5" spans="1:13" x14ac:dyDescent="0.25">
      <c r="A5" s="447"/>
      <c r="B5" s="447"/>
      <c r="C5" s="447"/>
      <c r="D5" s="447"/>
      <c r="E5" s="447"/>
      <c r="F5" s="447"/>
      <c r="G5" s="447"/>
      <c r="H5" s="447"/>
      <c r="I5" s="447"/>
      <c r="J5" s="447"/>
      <c r="K5" s="447"/>
      <c r="L5" s="447"/>
      <c r="M5" s="447"/>
    </row>
    <row r="6" spans="1:13" x14ac:dyDescent="0.25">
      <c r="A6" s="447"/>
      <c r="B6" s="447"/>
      <c r="C6" s="447"/>
      <c r="D6" s="447"/>
      <c r="E6" s="447"/>
      <c r="F6" s="447"/>
      <c r="G6" s="447"/>
      <c r="H6" s="447"/>
      <c r="I6" s="447"/>
      <c r="J6" s="447"/>
      <c r="K6" s="447"/>
      <c r="L6" s="447"/>
      <c r="M6" s="447"/>
    </row>
    <row r="7" spans="1:13" x14ac:dyDescent="0.25">
      <c r="A7" s="447"/>
      <c r="B7" s="447"/>
      <c r="C7" s="447"/>
      <c r="D7" s="447"/>
      <c r="E7" s="447"/>
      <c r="F7" s="447"/>
      <c r="G7" s="447"/>
      <c r="H7" s="447"/>
      <c r="I7" s="447"/>
      <c r="J7" s="447"/>
      <c r="K7" s="447"/>
      <c r="L7" s="447"/>
      <c r="M7" s="447"/>
    </row>
    <row r="8" spans="1:13" x14ac:dyDescent="0.25">
      <c r="A8" s="447"/>
      <c r="B8" s="447"/>
      <c r="C8" s="447"/>
      <c r="D8" s="447"/>
      <c r="E8" s="447"/>
      <c r="F8" s="447"/>
      <c r="G8" s="447"/>
      <c r="H8" s="447"/>
      <c r="I8" s="447"/>
      <c r="J8" s="447"/>
      <c r="K8" s="447"/>
      <c r="L8" s="447"/>
      <c r="M8" s="447"/>
    </row>
    <row r="9" spans="1:13" x14ac:dyDescent="0.25">
      <c r="A9" s="447"/>
      <c r="B9" s="447"/>
      <c r="C9" s="447"/>
      <c r="D9" s="447"/>
      <c r="E9" s="447"/>
      <c r="F9" s="447"/>
      <c r="G9" s="447"/>
      <c r="H9" s="447"/>
      <c r="I9" s="447"/>
      <c r="J9" s="447"/>
      <c r="K9" s="447"/>
      <c r="L9" s="447"/>
      <c r="M9" s="447"/>
    </row>
    <row r="10" spans="1:13" x14ac:dyDescent="0.25">
      <c r="A10" s="447"/>
      <c r="B10" s="447"/>
      <c r="C10" s="447"/>
      <c r="D10" s="447"/>
      <c r="E10" s="447"/>
      <c r="F10" s="447"/>
      <c r="G10" s="447"/>
      <c r="H10" s="447"/>
      <c r="I10" s="447"/>
      <c r="J10" s="447"/>
      <c r="K10" s="447"/>
      <c r="L10" s="447"/>
      <c r="M10" s="447"/>
    </row>
    <row r="11" spans="1:13" x14ac:dyDescent="0.25">
      <c r="A11" s="447"/>
      <c r="B11" s="447"/>
      <c r="C11" s="447"/>
      <c r="D11" s="447"/>
      <c r="E11" s="447"/>
      <c r="F11" s="447"/>
      <c r="G11" s="447"/>
      <c r="H11" s="447"/>
      <c r="I11" s="447"/>
      <c r="J11" s="447"/>
      <c r="K11" s="447"/>
      <c r="L11" s="447"/>
      <c r="M11" s="447"/>
    </row>
    <row r="12" spans="1:13" x14ac:dyDescent="0.25">
      <c r="A12" s="447"/>
      <c r="B12" s="447"/>
      <c r="C12" s="447"/>
      <c r="D12" s="447"/>
      <c r="E12" s="447"/>
      <c r="F12" s="447"/>
      <c r="G12" s="447"/>
      <c r="H12" s="447"/>
      <c r="I12" s="447"/>
      <c r="J12" s="447"/>
      <c r="K12" s="447"/>
      <c r="L12" s="447"/>
      <c r="M12" s="447"/>
    </row>
    <row r="13" spans="1:13" x14ac:dyDescent="0.25">
      <c r="A13" s="447"/>
      <c r="B13" s="447"/>
      <c r="C13" s="447"/>
      <c r="D13" s="447"/>
      <c r="E13" s="447"/>
      <c r="F13" s="447"/>
      <c r="G13" s="447"/>
      <c r="H13" s="447"/>
      <c r="I13" s="447"/>
      <c r="J13" s="447"/>
      <c r="K13" s="447"/>
      <c r="L13" s="447"/>
      <c r="M13" s="447"/>
    </row>
    <row r="14" spans="1:13" x14ac:dyDescent="0.25">
      <c r="A14" s="447"/>
      <c r="B14" s="447"/>
      <c r="C14" s="447"/>
      <c r="D14" s="447"/>
      <c r="E14" s="447"/>
      <c r="F14" s="447"/>
      <c r="G14" s="447"/>
      <c r="H14" s="447"/>
      <c r="I14" s="447"/>
      <c r="J14" s="447"/>
      <c r="K14" s="447"/>
      <c r="L14" s="447"/>
      <c r="M14" s="447"/>
    </row>
    <row r="15" spans="1:13" x14ac:dyDescent="0.25">
      <c r="A15" s="447"/>
      <c r="B15" s="447"/>
      <c r="C15" s="447"/>
      <c r="D15" s="447"/>
      <c r="E15" s="447"/>
      <c r="F15" s="447"/>
      <c r="G15" s="447"/>
      <c r="H15" s="447"/>
      <c r="I15" s="447"/>
      <c r="J15" s="447"/>
      <c r="K15" s="447"/>
      <c r="L15" s="447"/>
      <c r="M15" s="447"/>
    </row>
    <row r="16" spans="1:13" x14ac:dyDescent="0.25">
      <c r="A16" s="447"/>
      <c r="B16" s="447"/>
      <c r="C16" s="447"/>
      <c r="D16" s="447"/>
      <c r="E16" s="447"/>
      <c r="F16" s="447"/>
      <c r="G16" s="447"/>
      <c r="H16" s="447"/>
      <c r="I16" s="447"/>
      <c r="J16" s="447"/>
      <c r="K16" s="447"/>
      <c r="L16" s="447"/>
      <c r="M16" s="447"/>
    </row>
    <row r="17" spans="1:13" x14ac:dyDescent="0.25">
      <c r="A17" s="447"/>
      <c r="B17" s="447"/>
      <c r="C17" s="447"/>
      <c r="D17" s="447"/>
      <c r="E17" s="447"/>
      <c r="F17" s="447"/>
      <c r="G17" s="447"/>
      <c r="H17" s="447"/>
      <c r="I17" s="447"/>
      <c r="J17" s="447"/>
      <c r="K17" s="447"/>
      <c r="L17" s="447"/>
      <c r="M17" s="447"/>
    </row>
    <row r="18" spans="1:13" x14ac:dyDescent="0.25">
      <c r="A18" s="447"/>
      <c r="B18" s="447"/>
      <c r="C18" s="447"/>
      <c r="D18" s="447"/>
      <c r="E18" s="447"/>
      <c r="F18" s="447"/>
      <c r="G18" s="447"/>
      <c r="H18" s="447"/>
      <c r="I18" s="447"/>
      <c r="J18" s="447"/>
      <c r="K18" s="447"/>
      <c r="L18" s="447"/>
      <c r="M18" s="447"/>
    </row>
    <row r="19" spans="1:13" x14ac:dyDescent="0.25">
      <c r="A19" s="447"/>
      <c r="B19" s="447"/>
      <c r="C19" s="447"/>
      <c r="D19" s="447"/>
      <c r="E19" s="447"/>
      <c r="F19" s="447"/>
      <c r="G19" s="447"/>
      <c r="H19" s="447"/>
      <c r="I19" s="447"/>
      <c r="J19" s="447"/>
      <c r="K19" s="447"/>
      <c r="L19" s="447"/>
      <c r="M19" s="447"/>
    </row>
    <row r="20" spans="1:13" x14ac:dyDescent="0.25">
      <c r="A20" s="447"/>
      <c r="B20" s="447"/>
      <c r="C20" s="447"/>
      <c r="D20" s="447"/>
      <c r="E20" s="447"/>
      <c r="F20" s="447"/>
      <c r="G20" s="447"/>
      <c r="H20" s="447"/>
      <c r="I20" s="447"/>
      <c r="J20" s="447"/>
      <c r="K20" s="447"/>
      <c r="L20" s="447"/>
      <c r="M20" s="447"/>
    </row>
    <row r="21" spans="1:13" x14ac:dyDescent="0.25">
      <c r="A21" s="447"/>
      <c r="B21" s="447"/>
      <c r="C21" s="447"/>
      <c r="D21" s="447"/>
      <c r="E21" s="447"/>
      <c r="F21" s="447"/>
      <c r="G21" s="447"/>
      <c r="H21" s="447"/>
      <c r="I21" s="447"/>
      <c r="J21" s="447"/>
      <c r="K21" s="447"/>
      <c r="L21" s="447"/>
      <c r="M21" s="447"/>
    </row>
    <row r="22" spans="1:13" x14ac:dyDescent="0.25">
      <c r="A22" s="447"/>
      <c r="B22" s="447"/>
      <c r="C22" s="447"/>
      <c r="D22" s="447"/>
      <c r="E22" s="447"/>
      <c r="F22" s="447"/>
      <c r="G22" s="447"/>
      <c r="H22" s="447"/>
      <c r="I22" s="447"/>
      <c r="J22" s="447"/>
      <c r="K22" s="447"/>
      <c r="L22" s="447"/>
      <c r="M22" s="447"/>
    </row>
    <row r="23" spans="1:13" x14ac:dyDescent="0.25">
      <c r="A23" s="447"/>
      <c r="B23" s="447"/>
      <c r="C23" s="447"/>
      <c r="D23" s="447"/>
      <c r="E23" s="447"/>
      <c r="F23" s="447"/>
      <c r="G23" s="447"/>
      <c r="H23" s="447"/>
      <c r="I23" s="447"/>
      <c r="J23" s="447"/>
      <c r="K23" s="447"/>
      <c r="L23" s="447"/>
      <c r="M23" s="447"/>
    </row>
    <row r="24" spans="1:13" x14ac:dyDescent="0.25">
      <c r="A24" s="447"/>
      <c r="B24" s="447"/>
      <c r="C24" s="447"/>
      <c r="D24" s="447"/>
      <c r="E24" s="447"/>
      <c r="F24" s="447"/>
      <c r="G24" s="447"/>
      <c r="H24" s="447"/>
      <c r="I24" s="447"/>
      <c r="J24" s="447"/>
      <c r="K24" s="447"/>
      <c r="L24" s="447"/>
      <c r="M24" s="447"/>
    </row>
    <row r="25" spans="1:13" x14ac:dyDescent="0.25">
      <c r="A25" s="447"/>
      <c r="B25" s="447"/>
      <c r="C25" s="447"/>
      <c r="D25" s="447"/>
      <c r="E25" s="447"/>
      <c r="F25" s="447"/>
      <c r="G25" s="447"/>
      <c r="H25" s="447"/>
      <c r="I25" s="447"/>
      <c r="J25" s="447"/>
      <c r="K25" s="447"/>
      <c r="L25" s="447"/>
      <c r="M25" s="447"/>
    </row>
    <row r="26" spans="1:13" x14ac:dyDescent="0.25">
      <c r="A26" s="447"/>
      <c r="B26" s="447"/>
      <c r="C26" s="447"/>
      <c r="D26" s="447"/>
      <c r="E26" s="447"/>
      <c r="F26" s="447"/>
      <c r="G26" s="447"/>
      <c r="H26" s="447"/>
      <c r="I26" s="447"/>
      <c r="J26" s="447"/>
      <c r="K26" s="447"/>
      <c r="L26" s="447"/>
      <c r="M26" s="447"/>
    </row>
    <row r="27" spans="1:13" x14ac:dyDescent="0.25">
      <c r="A27" s="447"/>
      <c r="B27" s="447"/>
      <c r="C27" s="447"/>
      <c r="D27" s="447"/>
      <c r="E27" s="447"/>
      <c r="F27" s="447"/>
      <c r="G27" s="447"/>
      <c r="H27" s="447"/>
      <c r="I27" s="447"/>
      <c r="J27" s="447"/>
      <c r="K27" s="447"/>
      <c r="L27" s="447"/>
      <c r="M27" s="447"/>
    </row>
    <row r="28" spans="1:13" x14ac:dyDescent="0.25">
      <c r="A28" s="447"/>
      <c r="B28" s="447"/>
      <c r="C28" s="447"/>
      <c r="D28" s="447"/>
      <c r="E28" s="447"/>
      <c r="F28" s="447"/>
      <c r="G28" s="447"/>
      <c r="H28" s="447"/>
      <c r="I28" s="447"/>
      <c r="J28" s="447"/>
      <c r="K28" s="447"/>
      <c r="L28" s="447"/>
      <c r="M28" s="447"/>
    </row>
    <row r="29" spans="1:13" x14ac:dyDescent="0.25">
      <c r="A29" s="447"/>
      <c r="B29" s="447"/>
      <c r="C29" s="447"/>
      <c r="D29" s="447"/>
      <c r="E29" s="447"/>
      <c r="F29" s="447"/>
      <c r="G29" s="447"/>
      <c r="H29" s="447"/>
      <c r="I29" s="447"/>
      <c r="J29" s="447"/>
      <c r="K29" s="447"/>
      <c r="L29" s="447"/>
      <c r="M29" s="447"/>
    </row>
    <row r="30" spans="1:13" x14ac:dyDescent="0.25">
      <c r="A30" s="447"/>
      <c r="B30" s="447"/>
      <c r="C30" s="447"/>
      <c r="D30" s="447"/>
      <c r="E30" s="447"/>
      <c r="F30" s="447"/>
      <c r="G30" s="447"/>
      <c r="H30" s="447"/>
      <c r="I30" s="447"/>
      <c r="J30" s="447"/>
      <c r="K30" s="447"/>
      <c r="L30" s="447"/>
      <c r="M30" s="447"/>
    </row>
    <row r="31" spans="1:13" x14ac:dyDescent="0.25">
      <c r="A31" s="447"/>
      <c r="B31" s="447"/>
      <c r="C31" s="447"/>
      <c r="D31" s="447"/>
      <c r="E31" s="447"/>
      <c r="F31" s="447"/>
      <c r="G31" s="447"/>
      <c r="H31" s="447"/>
      <c r="I31" s="447"/>
      <c r="J31" s="447"/>
      <c r="K31" s="447"/>
      <c r="L31" s="447"/>
      <c r="M31" s="447"/>
    </row>
    <row r="32" spans="1:13" x14ac:dyDescent="0.25">
      <c r="A32" s="447"/>
      <c r="B32" s="447"/>
      <c r="C32" s="447"/>
      <c r="D32" s="447"/>
      <c r="E32" s="447"/>
      <c r="F32" s="447"/>
      <c r="G32" s="447"/>
      <c r="H32" s="447"/>
      <c r="I32" s="447"/>
      <c r="J32" s="447"/>
      <c r="K32" s="447"/>
      <c r="L32" s="447"/>
      <c r="M32" s="447"/>
    </row>
    <row r="33" spans="1:13" x14ac:dyDescent="0.25">
      <c r="A33" s="447"/>
      <c r="B33" s="447"/>
      <c r="C33" s="447"/>
      <c r="D33" s="447"/>
      <c r="E33" s="447"/>
      <c r="F33" s="447"/>
      <c r="G33" s="447"/>
      <c r="H33" s="447"/>
      <c r="I33" s="447"/>
      <c r="J33" s="447"/>
      <c r="K33" s="447"/>
      <c r="L33" s="447"/>
      <c r="M33" s="447"/>
    </row>
    <row r="34" spans="1:13" x14ac:dyDescent="0.25">
      <c r="A34" s="447"/>
      <c r="B34" s="447"/>
      <c r="C34" s="447"/>
      <c r="D34" s="447"/>
      <c r="E34" s="447"/>
      <c r="F34" s="447"/>
      <c r="G34" s="447"/>
      <c r="H34" s="447"/>
      <c r="I34" s="447"/>
      <c r="J34" s="447"/>
      <c r="K34" s="447"/>
      <c r="L34" s="447"/>
      <c r="M34" s="447"/>
    </row>
    <row r="35" spans="1:13" x14ac:dyDescent="0.25">
      <c r="A35" s="447"/>
      <c r="B35" s="447"/>
      <c r="C35" s="447"/>
      <c r="D35" s="447"/>
      <c r="E35" s="447"/>
      <c r="F35" s="447"/>
      <c r="G35" s="447"/>
      <c r="H35" s="447"/>
      <c r="I35" s="447"/>
      <c r="J35" s="447"/>
      <c r="K35" s="447"/>
      <c r="L35" s="447"/>
      <c r="M35" s="447"/>
    </row>
    <row r="36" spans="1:13" x14ac:dyDescent="0.25">
      <c r="A36" s="447"/>
      <c r="B36" s="447"/>
      <c r="C36" s="447"/>
      <c r="D36" s="447"/>
      <c r="E36" s="447"/>
      <c r="F36" s="447"/>
      <c r="G36" s="447"/>
      <c r="H36" s="447"/>
      <c r="I36" s="447"/>
      <c r="J36" s="447"/>
      <c r="K36" s="447"/>
      <c r="L36" s="447"/>
      <c r="M36" s="447"/>
    </row>
    <row r="37" spans="1:13" x14ac:dyDescent="0.25">
      <c r="A37" s="447"/>
      <c r="B37" s="447"/>
      <c r="C37" s="447"/>
      <c r="D37" s="447"/>
      <c r="E37" s="447"/>
      <c r="F37" s="447"/>
      <c r="G37" s="447"/>
      <c r="H37" s="447"/>
      <c r="I37" s="447"/>
      <c r="J37" s="447"/>
      <c r="K37" s="447"/>
      <c r="L37" s="447"/>
      <c r="M37" s="447"/>
    </row>
    <row r="38" spans="1:13" x14ac:dyDescent="0.25">
      <c r="A38" s="447"/>
      <c r="B38" s="447"/>
      <c r="C38" s="447"/>
      <c r="D38" s="447"/>
      <c r="E38" s="447"/>
      <c r="F38" s="447"/>
      <c r="G38" s="447"/>
      <c r="H38" s="447"/>
      <c r="I38" s="447"/>
      <c r="J38" s="447"/>
      <c r="K38" s="447"/>
      <c r="L38" s="447"/>
      <c r="M38" s="447"/>
    </row>
    <row r="39" spans="1:13" x14ac:dyDescent="0.25">
      <c r="A39" s="447"/>
      <c r="B39" s="447"/>
      <c r="C39" s="447"/>
      <c r="D39" s="447"/>
      <c r="E39" s="447"/>
      <c r="F39" s="447"/>
      <c r="G39" s="447"/>
      <c r="H39" s="447"/>
      <c r="I39" s="447"/>
      <c r="J39" s="447"/>
      <c r="K39" s="447"/>
      <c r="L39" s="447"/>
      <c r="M39" s="447"/>
    </row>
    <row r="40" spans="1:13" x14ac:dyDescent="0.25">
      <c r="A40" s="447"/>
      <c r="B40" s="447"/>
      <c r="C40" s="447"/>
      <c r="D40" s="447"/>
      <c r="E40" s="447"/>
      <c r="F40" s="447"/>
      <c r="G40" s="447"/>
      <c r="H40" s="447"/>
      <c r="I40" s="447"/>
      <c r="J40" s="447"/>
      <c r="K40" s="447"/>
      <c r="L40" s="447"/>
      <c r="M40" s="447"/>
    </row>
    <row r="41" spans="1:13" x14ac:dyDescent="0.25">
      <c r="A41" s="447"/>
      <c r="B41" s="447"/>
      <c r="C41" s="447"/>
      <c r="D41" s="447"/>
      <c r="E41" s="447"/>
      <c r="F41" s="447"/>
      <c r="G41" s="447"/>
      <c r="H41" s="447"/>
      <c r="I41" s="447"/>
      <c r="J41" s="447"/>
      <c r="K41" s="447"/>
      <c r="L41" s="447"/>
      <c r="M41" s="447"/>
    </row>
    <row r="42" spans="1:13" x14ac:dyDescent="0.25">
      <c r="A42" s="447"/>
      <c r="B42" s="447"/>
      <c r="C42" s="447"/>
      <c r="D42" s="447"/>
      <c r="E42" s="447"/>
      <c r="F42" s="447"/>
      <c r="G42" s="447"/>
      <c r="H42" s="447"/>
      <c r="I42" s="447"/>
      <c r="J42" s="447"/>
      <c r="K42" s="447"/>
      <c r="L42" s="447"/>
      <c r="M42" s="447"/>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8"/>
  <sheetViews>
    <sheetView workbookViewId="0">
      <selection sqref="A1:XFD1048576"/>
    </sheetView>
  </sheetViews>
  <sheetFormatPr defaultRowHeight="15" x14ac:dyDescent="0.25"/>
  <cols>
    <col min="1" max="1" width="39.85546875" customWidth="1"/>
    <col min="2" max="2" width="17.140625" customWidth="1"/>
    <col min="3" max="3" width="32.42578125" customWidth="1"/>
    <col min="6" max="6" width="23" bestFit="1" customWidth="1"/>
  </cols>
  <sheetData>
    <row r="1" spans="1:6" x14ac:dyDescent="0.25">
      <c r="A1" s="275" t="s">
        <v>593</v>
      </c>
    </row>
    <row r="2" spans="1:6" x14ac:dyDescent="0.25">
      <c r="A2" t="s">
        <v>452</v>
      </c>
      <c r="C2" t="s">
        <v>453</v>
      </c>
      <c r="D2" t="s">
        <v>454</v>
      </c>
    </row>
    <row r="3" spans="1:6" x14ac:dyDescent="0.25">
      <c r="A3" t="s">
        <v>455</v>
      </c>
      <c r="C3" s="276" t="s">
        <v>397</v>
      </c>
      <c r="E3" t="s">
        <v>456</v>
      </c>
      <c r="F3" s="277">
        <v>42164.452893518515</v>
      </c>
    </row>
    <row r="4" spans="1:6" x14ac:dyDescent="0.25">
      <c r="A4" t="s">
        <v>457</v>
      </c>
    </row>
    <row r="5" spans="1:6" x14ac:dyDescent="0.25">
      <c r="A5" t="s">
        <v>458</v>
      </c>
    </row>
    <row r="6" spans="1:6" x14ac:dyDescent="0.25">
      <c r="A6" t="s">
        <v>459</v>
      </c>
    </row>
    <row r="7" spans="1:6" x14ac:dyDescent="0.25">
      <c r="A7" t="s">
        <v>460</v>
      </c>
    </row>
    <row r="8" spans="1:6" x14ac:dyDescent="0.25">
      <c r="A8" t="s">
        <v>461</v>
      </c>
    </row>
    <row r="9" spans="1:6" x14ac:dyDescent="0.25">
      <c r="A9" t="s">
        <v>462</v>
      </c>
    </row>
    <row r="10" spans="1:6" x14ac:dyDescent="0.25">
      <c r="A10" t="s">
        <v>463</v>
      </c>
    </row>
    <row r="12" spans="1:6" x14ac:dyDescent="0.25">
      <c r="A12" t="s">
        <v>464</v>
      </c>
    </row>
    <row r="14" spans="1:6" x14ac:dyDescent="0.25">
      <c r="A14" t="s">
        <v>465</v>
      </c>
    </row>
    <row r="15" spans="1:6" x14ac:dyDescent="0.25">
      <c r="A15" t="s">
        <v>466</v>
      </c>
    </row>
    <row r="16" spans="1:6" ht="30" x14ac:dyDescent="0.25">
      <c r="A16" s="276" t="s">
        <v>698</v>
      </c>
    </row>
    <row r="17" spans="1:4" ht="195" x14ac:dyDescent="0.25">
      <c r="A17" s="276" t="s">
        <v>803</v>
      </c>
    </row>
    <row r="18" spans="1:4" x14ac:dyDescent="0.25">
      <c r="A18" t="s">
        <v>467</v>
      </c>
    </row>
    <row r="19" spans="1:4" x14ac:dyDescent="0.25">
      <c r="A19" t="s">
        <v>468</v>
      </c>
      <c r="B19" t="s">
        <v>469</v>
      </c>
    </row>
    <row r="20" spans="1:4" x14ac:dyDescent="0.25">
      <c r="A20" t="s">
        <v>469</v>
      </c>
    </row>
    <row r="22" spans="1:4" x14ac:dyDescent="0.25">
      <c r="A22" t="s">
        <v>470</v>
      </c>
    </row>
    <row r="24" spans="1:4" x14ac:dyDescent="0.25">
      <c r="A24" t="s">
        <v>471</v>
      </c>
    </row>
    <row r="25" spans="1:4" x14ac:dyDescent="0.25">
      <c r="A25" t="s">
        <v>472</v>
      </c>
      <c r="B25" s="276" t="s">
        <v>398</v>
      </c>
      <c r="C25" t="s">
        <v>473</v>
      </c>
      <c r="D25">
        <v>0</v>
      </c>
    </row>
    <row r="26" spans="1:4" x14ac:dyDescent="0.25">
      <c r="A26" t="s">
        <v>471</v>
      </c>
    </row>
    <row r="27" spans="1:4" x14ac:dyDescent="0.25">
      <c r="A27" t="s">
        <v>474</v>
      </c>
    </row>
    <row r="28" spans="1:4" x14ac:dyDescent="0.25">
      <c r="A28" t="s">
        <v>475</v>
      </c>
    </row>
    <row r="29" spans="1:4" x14ac:dyDescent="0.25">
      <c r="A29" t="s">
        <v>476</v>
      </c>
    </row>
    <row r="30" spans="1:4" x14ac:dyDescent="0.25">
      <c r="A30" t="s">
        <v>477</v>
      </c>
    </row>
    <row r="31" spans="1:4" x14ac:dyDescent="0.25">
      <c r="A31" s="276" t="s">
        <v>219</v>
      </c>
    </row>
    <row r="32" spans="1:4" x14ac:dyDescent="0.25">
      <c r="A32" s="276" t="s">
        <v>219</v>
      </c>
    </row>
    <row r="33" spans="1:2" x14ac:dyDescent="0.25">
      <c r="A33" t="s">
        <v>478</v>
      </c>
    </row>
    <row r="34" spans="1:2" x14ac:dyDescent="0.25">
      <c r="A34" t="s">
        <v>479</v>
      </c>
    </row>
    <row r="36" spans="1:2" x14ac:dyDescent="0.25">
      <c r="A36" t="s">
        <v>480</v>
      </c>
    </row>
    <row r="38" spans="1:2" x14ac:dyDescent="0.25">
      <c r="A38" t="s">
        <v>481</v>
      </c>
    </row>
    <row r="40" spans="1:2" x14ac:dyDescent="0.25">
      <c r="A40" t="s">
        <v>482</v>
      </c>
      <c r="B40" t="s">
        <v>483</v>
      </c>
    </row>
    <row r="41" spans="1:2" x14ac:dyDescent="0.25">
      <c r="A41" t="s">
        <v>484</v>
      </c>
    </row>
    <row r="43" spans="1:2" x14ac:dyDescent="0.25">
      <c r="A43" t="s">
        <v>485</v>
      </c>
    </row>
    <row r="44" spans="1:2" x14ac:dyDescent="0.25">
      <c r="A44" t="s">
        <v>486</v>
      </c>
    </row>
    <row r="46" spans="1:2" x14ac:dyDescent="0.25">
      <c r="A46" t="s">
        <v>487</v>
      </c>
    </row>
    <row r="47" spans="1:2" x14ac:dyDescent="0.25">
      <c r="A47" t="s">
        <v>488</v>
      </c>
    </row>
    <row r="48" spans="1:2" x14ac:dyDescent="0.25">
      <c r="A48" t="s">
        <v>489</v>
      </c>
    </row>
    <row r="49" spans="1:1" x14ac:dyDescent="0.25">
      <c r="A49" s="275" t="s">
        <v>490</v>
      </c>
    </row>
    <row r="50" spans="1:1" x14ac:dyDescent="0.25">
      <c r="A50" s="276" t="s">
        <v>1</v>
      </c>
    </row>
    <row r="51" spans="1:1" x14ac:dyDescent="0.25">
      <c r="A51" s="276" t="s">
        <v>9</v>
      </c>
    </row>
    <row r="52" spans="1:1" x14ac:dyDescent="0.25">
      <c r="A52" t="s">
        <v>491</v>
      </c>
    </row>
    <row r="53" spans="1:1" x14ac:dyDescent="0.25">
      <c r="A53" s="275" t="s">
        <v>492</v>
      </c>
    </row>
    <row r="55" spans="1:1" x14ac:dyDescent="0.25">
      <c r="A55" s="275" t="s">
        <v>493</v>
      </c>
    </row>
    <row r="57" spans="1:1" x14ac:dyDescent="0.25">
      <c r="A57" s="275" t="s">
        <v>494</v>
      </c>
    </row>
    <row r="59" spans="1:1" x14ac:dyDescent="0.25">
      <c r="A59" t="s">
        <v>495</v>
      </c>
    </row>
    <row r="61" spans="1:1" x14ac:dyDescent="0.25">
      <c r="A61" t="s">
        <v>496</v>
      </c>
    </row>
    <row r="62" spans="1:1" x14ac:dyDescent="0.25">
      <c r="A62" t="s">
        <v>497</v>
      </c>
    </row>
    <row r="64" spans="1:1" x14ac:dyDescent="0.25">
      <c r="A64" t="s">
        <v>498</v>
      </c>
    </row>
    <row r="66" spans="1:3" x14ac:dyDescent="0.25">
      <c r="A66" t="s">
        <v>499</v>
      </c>
    </row>
    <row r="68" spans="1:3" x14ac:dyDescent="0.25">
      <c r="A68" t="s">
        <v>500</v>
      </c>
    </row>
    <row r="70" spans="1:3" x14ac:dyDescent="0.25">
      <c r="A70" t="s">
        <v>501</v>
      </c>
    </row>
    <row r="72" spans="1:3" x14ac:dyDescent="0.25">
      <c r="A72" t="s">
        <v>502</v>
      </c>
    </row>
    <row r="74" spans="1:3" x14ac:dyDescent="0.25">
      <c r="A74" t="s">
        <v>503</v>
      </c>
    </row>
    <row r="76" spans="1:3" x14ac:dyDescent="0.25">
      <c r="A76" t="s">
        <v>504</v>
      </c>
    </row>
    <row r="78" spans="1:3" x14ac:dyDescent="0.25">
      <c r="A78" t="s">
        <v>505</v>
      </c>
      <c r="B78" s="278">
        <v>0</v>
      </c>
      <c r="C78" t="s">
        <v>506</v>
      </c>
    </row>
    <row r="80" spans="1:3" x14ac:dyDescent="0.25">
      <c r="A80" t="s">
        <v>507</v>
      </c>
    </row>
    <row r="82" spans="1:6" x14ac:dyDescent="0.25">
      <c r="A82" t="s">
        <v>508</v>
      </c>
    </row>
    <row r="84" spans="1:6" x14ac:dyDescent="0.25">
      <c r="A84" t="s">
        <v>509</v>
      </c>
    </row>
    <row r="86" spans="1:6" x14ac:dyDescent="0.25">
      <c r="A86" t="s">
        <v>510</v>
      </c>
    </row>
    <row r="88" spans="1:6" x14ac:dyDescent="0.25">
      <c r="A88" t="s">
        <v>16</v>
      </c>
    </row>
    <row r="89" spans="1:6" x14ac:dyDescent="0.25">
      <c r="A89" t="s">
        <v>511</v>
      </c>
    </row>
    <row r="91" spans="1:6" x14ac:dyDescent="0.25">
      <c r="A91" t="s">
        <v>512</v>
      </c>
    </row>
    <row r="92" spans="1:6" x14ac:dyDescent="0.25">
      <c r="A92" t="s">
        <v>513</v>
      </c>
    </row>
    <row r="94" spans="1:6" x14ac:dyDescent="0.25">
      <c r="A94" t="s">
        <v>514</v>
      </c>
    </row>
    <row r="95" spans="1:6" x14ac:dyDescent="0.25">
      <c r="A95" t="s">
        <v>515</v>
      </c>
      <c r="B95" t="s">
        <v>516</v>
      </c>
      <c r="C95" t="s">
        <v>517</v>
      </c>
      <c r="D95" t="s">
        <v>518</v>
      </c>
      <c r="E95" t="s">
        <v>519</v>
      </c>
      <c r="F95" t="s">
        <v>520</v>
      </c>
    </row>
    <row r="96" spans="1:6" x14ac:dyDescent="0.25">
      <c r="A96" t="s">
        <v>521</v>
      </c>
    </row>
    <row r="97" spans="1:1" x14ac:dyDescent="0.25">
      <c r="A97" t="s">
        <v>522</v>
      </c>
    </row>
    <row r="98" spans="1:1" x14ac:dyDescent="0.25">
      <c r="A98" t="s">
        <v>523</v>
      </c>
    </row>
    <row r="100" spans="1:1" x14ac:dyDescent="0.25">
      <c r="A100" t="s">
        <v>524</v>
      </c>
    </row>
    <row r="102" spans="1:1" x14ac:dyDescent="0.25">
      <c r="A102" t="s">
        <v>525</v>
      </c>
    </row>
    <row r="104" spans="1:1" x14ac:dyDescent="0.25">
      <c r="A104" s="275" t="s">
        <v>526</v>
      </c>
    </row>
    <row r="105" spans="1:1" x14ac:dyDescent="0.25">
      <c r="A105" s="275" t="s">
        <v>526</v>
      </c>
    </row>
    <row r="107" spans="1:1" x14ac:dyDescent="0.25">
      <c r="A107" t="s">
        <v>527</v>
      </c>
    </row>
    <row r="108" spans="1:1" x14ac:dyDescent="0.25">
      <c r="A108" t="s">
        <v>527</v>
      </c>
    </row>
    <row r="109" spans="1:1" x14ac:dyDescent="0.25">
      <c r="A109" s="275" t="s">
        <v>528</v>
      </c>
    </row>
    <row r="110" spans="1:1" x14ac:dyDescent="0.25">
      <c r="A110" t="s">
        <v>529</v>
      </c>
    </row>
    <row r="112" spans="1:1" x14ac:dyDescent="0.25">
      <c r="A112" t="s">
        <v>530</v>
      </c>
    </row>
    <row r="113" spans="1:10" x14ac:dyDescent="0.25">
      <c r="A113" t="s">
        <v>531</v>
      </c>
      <c r="B113" t="s">
        <v>532</v>
      </c>
    </row>
    <row r="114" spans="1:10" x14ac:dyDescent="0.25">
      <c r="A114" s="275" t="s">
        <v>533</v>
      </c>
    </row>
    <row r="115" spans="1:10" x14ac:dyDescent="0.25">
      <c r="A115" t="s">
        <v>534</v>
      </c>
    </row>
    <row r="116" spans="1:10" x14ac:dyDescent="0.25">
      <c r="A116" t="s">
        <v>535</v>
      </c>
    </row>
    <row r="117" spans="1:10" x14ac:dyDescent="0.25">
      <c r="A117" t="s">
        <v>536</v>
      </c>
    </row>
    <row r="119" spans="1:10" x14ac:dyDescent="0.25">
      <c r="A119" t="s">
        <v>17</v>
      </c>
      <c r="B119" t="s">
        <v>18</v>
      </c>
    </row>
    <row r="120" spans="1:10" x14ac:dyDescent="0.25">
      <c r="A120" t="s">
        <v>537</v>
      </c>
      <c r="B120" s="275" t="s">
        <v>538</v>
      </c>
    </row>
    <row r="121" spans="1:10" x14ac:dyDescent="0.25">
      <c r="A121" t="s">
        <v>539</v>
      </c>
    </row>
    <row r="123" spans="1:10" x14ac:dyDescent="0.25">
      <c r="A123" t="s">
        <v>540</v>
      </c>
    </row>
    <row r="124" spans="1:10" x14ac:dyDescent="0.25">
      <c r="A124" t="s">
        <v>19</v>
      </c>
    </row>
    <row r="125" spans="1:10" x14ac:dyDescent="0.25">
      <c r="A125" t="s">
        <v>19</v>
      </c>
      <c r="B125" t="s">
        <v>20</v>
      </c>
      <c r="C125" t="s">
        <v>0</v>
      </c>
      <c r="D125" t="s">
        <v>541</v>
      </c>
      <c r="E125" t="s">
        <v>542</v>
      </c>
      <c r="F125" t="s">
        <v>543</v>
      </c>
      <c r="G125" t="s">
        <v>544</v>
      </c>
    </row>
    <row r="126" spans="1:10" x14ac:dyDescent="0.25">
      <c r="A126" s="279" t="s">
        <v>679</v>
      </c>
      <c r="B126" s="279"/>
      <c r="C126" s="279">
        <v>1.4445054645303336E-9</v>
      </c>
      <c r="D126" s="279"/>
      <c r="E126" s="279"/>
      <c r="F126" s="280">
        <v>0</v>
      </c>
      <c r="G126" s="279" t="s">
        <v>740</v>
      </c>
      <c r="H126" s="279"/>
      <c r="I126" s="279"/>
      <c r="J126" s="279"/>
    </row>
    <row r="127" spans="1:10" x14ac:dyDescent="0.25">
      <c r="A127" s="279" t="s">
        <v>678</v>
      </c>
      <c r="B127" s="279"/>
      <c r="C127" s="279">
        <v>6.704970541075134E-9</v>
      </c>
      <c r="D127" s="279"/>
      <c r="E127" s="279"/>
      <c r="F127" s="280">
        <v>0</v>
      </c>
      <c r="G127" s="279" t="s">
        <v>692</v>
      </c>
      <c r="H127" s="279"/>
      <c r="I127" s="279"/>
      <c r="J127" s="279"/>
    </row>
    <row r="128" spans="1:10" x14ac:dyDescent="0.25">
      <c r="A128" s="279" t="s">
        <v>681</v>
      </c>
      <c r="B128" s="279"/>
      <c r="C128" s="279">
        <v>6.1998440104938239E-7</v>
      </c>
      <c r="D128" s="279"/>
      <c r="E128" s="279"/>
      <c r="F128" s="280">
        <v>0</v>
      </c>
      <c r="G128" s="279" t="s">
        <v>741</v>
      </c>
      <c r="H128" s="279"/>
      <c r="I128" s="279"/>
      <c r="J128" s="279"/>
    </row>
    <row r="129" spans="1:10" x14ac:dyDescent="0.25">
      <c r="A129" s="279" t="s">
        <v>705</v>
      </c>
      <c r="B129" s="279"/>
      <c r="C129" s="279">
        <v>1.0965222544608344E-9</v>
      </c>
      <c r="D129" s="279"/>
      <c r="E129" s="279"/>
      <c r="F129" s="280">
        <v>0</v>
      </c>
      <c r="G129" s="279" t="s">
        <v>742</v>
      </c>
      <c r="H129" s="279"/>
      <c r="I129" s="279"/>
      <c r="J129" s="279"/>
    </row>
    <row r="130" spans="1:10" x14ac:dyDescent="0.25">
      <c r="A130" s="279" t="s">
        <v>683</v>
      </c>
      <c r="B130" s="279"/>
      <c r="C130" s="279">
        <v>2.5038094718525786E-8</v>
      </c>
      <c r="D130" s="279"/>
      <c r="E130" s="279"/>
      <c r="F130" s="280">
        <v>0</v>
      </c>
      <c r="G130" s="279" t="s">
        <v>743</v>
      </c>
      <c r="H130" s="279"/>
      <c r="I130" s="279"/>
      <c r="J130" s="279"/>
    </row>
    <row r="131" spans="1:10" x14ac:dyDescent="0.25">
      <c r="A131" s="279" t="s">
        <v>685</v>
      </c>
      <c r="B131" s="279"/>
      <c r="C131" s="279">
        <v>4.7892646721965241E-8</v>
      </c>
      <c r="D131" s="279"/>
      <c r="E131" s="279"/>
      <c r="F131" s="280">
        <v>0</v>
      </c>
      <c r="G131" s="279" t="s">
        <v>744</v>
      </c>
      <c r="H131" s="279"/>
      <c r="I131" s="279"/>
      <c r="J131" s="279"/>
    </row>
    <row r="132" spans="1:10" x14ac:dyDescent="0.25">
      <c r="A132" s="279" t="s">
        <v>686</v>
      </c>
      <c r="B132" s="279"/>
      <c r="C132" s="279">
        <v>2.7352252987472752E-5</v>
      </c>
      <c r="D132" s="279"/>
      <c r="E132" s="279"/>
      <c r="F132" s="280">
        <v>0</v>
      </c>
      <c r="G132" s="279" t="s">
        <v>745</v>
      </c>
      <c r="H132" s="279"/>
      <c r="I132" s="279"/>
      <c r="J132" s="279"/>
    </row>
    <row r="133" spans="1:10" x14ac:dyDescent="0.25">
      <c r="A133" s="279" t="s">
        <v>706</v>
      </c>
      <c r="B133" s="279"/>
      <c r="C133" s="279">
        <v>1.2101304511993851E-8</v>
      </c>
      <c r="D133" s="279"/>
      <c r="E133" s="279"/>
      <c r="F133" s="280">
        <v>0</v>
      </c>
      <c r="G133" s="279" t="s">
        <v>746</v>
      </c>
      <c r="H133" s="279"/>
      <c r="I133" s="279"/>
      <c r="J133" s="279"/>
    </row>
    <row r="134" spans="1:10" x14ac:dyDescent="0.25">
      <c r="A134" s="279" t="s">
        <v>688</v>
      </c>
      <c r="B134" s="279"/>
      <c r="C134" s="279">
        <v>3.6112636613258341E-10</v>
      </c>
      <c r="D134" s="279"/>
      <c r="E134" s="279"/>
      <c r="F134" s="280">
        <v>0</v>
      </c>
      <c r="G134" s="279" t="s">
        <v>747</v>
      </c>
      <c r="H134" s="279"/>
      <c r="I134" s="279"/>
      <c r="J134" s="279"/>
    </row>
    <row r="135" spans="1:10" x14ac:dyDescent="0.25">
      <c r="A135" s="279" t="s">
        <v>680</v>
      </c>
      <c r="B135" s="279"/>
      <c r="C135" s="279">
        <v>1.3738539328743254E-7</v>
      </c>
      <c r="D135" s="279"/>
      <c r="E135" s="279"/>
      <c r="F135" s="280">
        <v>0</v>
      </c>
      <c r="G135" s="279" t="s">
        <v>748</v>
      </c>
      <c r="H135" s="279"/>
      <c r="I135" s="279"/>
      <c r="J135" s="279"/>
    </row>
    <row r="136" spans="1:10" x14ac:dyDescent="0.25">
      <c r="A136" s="279" t="s">
        <v>689</v>
      </c>
      <c r="B136" s="279"/>
      <c r="C136" s="279">
        <v>1.6710609554803544E-8</v>
      </c>
      <c r="D136" s="279"/>
      <c r="E136" s="279"/>
      <c r="F136" s="280">
        <v>0</v>
      </c>
      <c r="G136" s="279" t="s">
        <v>749</v>
      </c>
      <c r="H136" s="279"/>
      <c r="I136" s="279"/>
      <c r="J136" s="279"/>
    </row>
    <row r="137" spans="1:10" x14ac:dyDescent="0.25">
      <c r="A137" s="279" t="s">
        <v>682</v>
      </c>
      <c r="B137" s="279"/>
      <c r="C137" s="279">
        <v>2.9526264569984335E-6</v>
      </c>
      <c r="D137" s="279"/>
      <c r="E137" s="279"/>
      <c r="F137" s="280">
        <v>0</v>
      </c>
      <c r="G137" s="279" t="s">
        <v>750</v>
      </c>
      <c r="H137" s="279"/>
      <c r="I137" s="279"/>
      <c r="J137" s="279"/>
    </row>
    <row r="138" spans="1:10" x14ac:dyDescent="0.25">
      <c r="A138" s="279" t="s">
        <v>690</v>
      </c>
      <c r="B138" s="279"/>
      <c r="C138" s="279">
        <v>6.2595236796314465E-9</v>
      </c>
      <c r="D138" s="279"/>
      <c r="E138" s="279"/>
      <c r="F138" s="280">
        <v>0</v>
      </c>
      <c r="G138" s="279" t="s">
        <v>751</v>
      </c>
      <c r="H138" s="279"/>
      <c r="I138" s="279"/>
      <c r="J138" s="279"/>
    </row>
    <row r="139" spans="1:10" x14ac:dyDescent="0.25">
      <c r="A139" s="279" t="s">
        <v>684</v>
      </c>
      <c r="B139" s="279"/>
      <c r="C139" s="279">
        <v>5.4231076297670741E-6</v>
      </c>
      <c r="D139" s="279"/>
      <c r="E139" s="279"/>
      <c r="F139" s="280">
        <v>0</v>
      </c>
      <c r="G139" s="279" t="s">
        <v>752</v>
      </c>
      <c r="H139" s="279"/>
      <c r="I139" s="279"/>
      <c r="J139" s="279"/>
    </row>
    <row r="140" spans="1:10" x14ac:dyDescent="0.25">
      <c r="A140" s="279" t="s">
        <v>691</v>
      </c>
      <c r="B140" s="279"/>
      <c r="C140" s="279">
        <v>5.6967987118648453E-7</v>
      </c>
      <c r="D140" s="279"/>
      <c r="E140" s="279"/>
      <c r="F140" s="280">
        <v>0</v>
      </c>
      <c r="G140" s="279" t="s">
        <v>753</v>
      </c>
      <c r="H140" s="279"/>
      <c r="I140" s="279"/>
      <c r="J140" s="279"/>
    </row>
    <row r="141" spans="1:10" x14ac:dyDescent="0.25">
      <c r="A141" s="279" t="s">
        <v>687</v>
      </c>
      <c r="B141" s="279"/>
      <c r="C141" s="279">
        <v>1.9498476602819844E-5</v>
      </c>
      <c r="D141" s="279"/>
      <c r="E141" s="279"/>
      <c r="F141" s="280">
        <v>0</v>
      </c>
      <c r="G141" s="279" t="s">
        <v>754</v>
      </c>
      <c r="H141" s="279"/>
      <c r="I141" s="279"/>
      <c r="J141" s="279"/>
    </row>
    <row r="142" spans="1:10" x14ac:dyDescent="0.25">
      <c r="A142" s="279" t="s">
        <v>426</v>
      </c>
      <c r="B142" s="279" t="s">
        <v>774</v>
      </c>
      <c r="C142" s="279">
        <v>4.9817519806883339E-6</v>
      </c>
      <c r="D142" s="279"/>
      <c r="E142" s="279"/>
      <c r="F142" s="280">
        <v>0</v>
      </c>
      <c r="G142" s="279" t="s">
        <v>430</v>
      </c>
      <c r="H142" s="279"/>
      <c r="I142" s="279"/>
      <c r="J142" s="279"/>
    </row>
    <row r="143" spans="1:10" x14ac:dyDescent="0.25">
      <c r="A143" s="279" t="s">
        <v>427</v>
      </c>
      <c r="B143" s="279" t="s">
        <v>435</v>
      </c>
      <c r="C143" s="279">
        <v>7.4726279710325021E-7</v>
      </c>
      <c r="D143" s="279"/>
      <c r="E143" s="279"/>
      <c r="F143" s="280">
        <v>0</v>
      </c>
      <c r="G143" s="279" t="s">
        <v>438</v>
      </c>
      <c r="H143" s="279"/>
      <c r="I143" s="279"/>
      <c r="J143" s="279"/>
    </row>
    <row r="144" spans="1:10" x14ac:dyDescent="0.25">
      <c r="A144" s="279" t="s">
        <v>428</v>
      </c>
      <c r="B144" s="279" t="s">
        <v>775</v>
      </c>
      <c r="C144" s="279">
        <v>7.0579744881171016E-5</v>
      </c>
      <c r="D144" s="279"/>
      <c r="E144" s="279"/>
      <c r="F144" s="280">
        <v>0</v>
      </c>
      <c r="G144" s="279" t="s">
        <v>431</v>
      </c>
      <c r="H144" s="279"/>
      <c r="I144" s="279"/>
      <c r="J144" s="279"/>
    </row>
    <row r="145" spans="1:10" x14ac:dyDescent="0.25">
      <c r="A145" s="279" t="s">
        <v>429</v>
      </c>
      <c r="B145" s="279" t="s">
        <v>434</v>
      </c>
      <c r="C145" s="279">
        <v>1.0586961732175654E-5</v>
      </c>
      <c r="D145" s="279"/>
      <c r="E145" s="279"/>
      <c r="F145" s="280">
        <v>0</v>
      </c>
      <c r="G145" s="279" t="s">
        <v>437</v>
      </c>
      <c r="H145" s="279"/>
      <c r="I145" s="279"/>
      <c r="J145" s="279"/>
    </row>
    <row r="146" spans="1:10" x14ac:dyDescent="0.25">
      <c r="A146" s="279" t="s">
        <v>784</v>
      </c>
      <c r="B146" s="279"/>
      <c r="C146" s="279">
        <v>2.1386151644266043E-7</v>
      </c>
      <c r="D146" s="279"/>
      <c r="E146" s="279"/>
      <c r="F146" s="280">
        <v>0</v>
      </c>
      <c r="G146" s="279" t="s">
        <v>792</v>
      </c>
      <c r="H146" s="279"/>
      <c r="I146" s="279"/>
      <c r="J146" s="279"/>
    </row>
    <row r="147" spans="1:10" x14ac:dyDescent="0.25">
      <c r="A147" s="279" t="s">
        <v>785</v>
      </c>
      <c r="B147" s="279"/>
      <c r="C147" s="279">
        <v>3.7506749999999999E-6</v>
      </c>
      <c r="D147" s="279"/>
      <c r="E147" s="279"/>
      <c r="F147" s="280">
        <v>0</v>
      </c>
      <c r="G147" s="279" t="s">
        <v>793</v>
      </c>
      <c r="H147" s="279"/>
      <c r="I147" s="279"/>
      <c r="J147" s="279"/>
    </row>
    <row r="148" spans="1:10" x14ac:dyDescent="0.25">
      <c r="A148" s="279" t="s">
        <v>786</v>
      </c>
      <c r="B148" s="279"/>
      <c r="C148" s="279">
        <v>4.5932245493562233E-5</v>
      </c>
      <c r="D148" s="279"/>
      <c r="E148" s="279"/>
      <c r="F148" s="280">
        <v>0</v>
      </c>
      <c r="G148" s="279" t="s">
        <v>794</v>
      </c>
      <c r="H148" s="279"/>
      <c r="I148" s="279"/>
      <c r="J148" s="279"/>
    </row>
    <row r="149" spans="1:10" x14ac:dyDescent="0.25">
      <c r="A149" s="279" t="s">
        <v>787</v>
      </c>
      <c r="B149" s="279"/>
      <c r="C149" s="279">
        <v>1.4544444444444444E-3</v>
      </c>
      <c r="D149" s="279"/>
      <c r="E149" s="279"/>
      <c r="F149" s="280">
        <v>0</v>
      </c>
      <c r="G149" s="279" t="s">
        <v>795</v>
      </c>
      <c r="H149" s="279"/>
      <c r="I149" s="279"/>
      <c r="J149" s="279"/>
    </row>
    <row r="150" spans="1:10" x14ac:dyDescent="0.25">
      <c r="A150" s="279" t="s">
        <v>788</v>
      </c>
      <c r="B150" s="279"/>
      <c r="C150" s="279">
        <v>1.011111111111111E-4</v>
      </c>
      <c r="D150" s="279"/>
      <c r="E150" s="279"/>
      <c r="F150" s="280">
        <v>0</v>
      </c>
      <c r="G150" s="279" t="s">
        <v>796</v>
      </c>
      <c r="H150" s="279"/>
      <c r="I150" s="279"/>
      <c r="J150" s="279"/>
    </row>
    <row r="151" spans="1:10" x14ac:dyDescent="0.25">
      <c r="A151" s="279" t="s">
        <v>433</v>
      </c>
      <c r="B151" s="279"/>
      <c r="C151" s="279">
        <v>0.85</v>
      </c>
      <c r="D151" s="279"/>
      <c r="E151" s="279"/>
      <c r="F151" s="280">
        <v>0</v>
      </c>
      <c r="G151" s="279" t="s">
        <v>436</v>
      </c>
      <c r="H151" s="279"/>
      <c r="I151" s="279"/>
      <c r="J151" s="279"/>
    </row>
    <row r="152" spans="1:10" x14ac:dyDescent="0.25">
      <c r="A152" s="279" t="s">
        <v>739</v>
      </c>
      <c r="B152" s="279"/>
      <c r="C152" s="279">
        <v>1.6516666666666666E-6</v>
      </c>
      <c r="D152" s="279"/>
      <c r="E152" s="279"/>
      <c r="F152" s="280">
        <v>0</v>
      </c>
      <c r="G152" s="279" t="s">
        <v>755</v>
      </c>
      <c r="H152" s="279"/>
      <c r="I152" s="279"/>
      <c r="J152" s="279"/>
    </row>
    <row r="153" spans="1:10" x14ac:dyDescent="0.25">
      <c r="A153" s="279" t="s">
        <v>737</v>
      </c>
      <c r="B153" s="279"/>
      <c r="C153" s="279">
        <v>9.9105555555555556E-6</v>
      </c>
      <c r="D153" s="279"/>
      <c r="E153" s="279"/>
      <c r="F153" s="280">
        <v>0</v>
      </c>
      <c r="G153" s="279" t="s">
        <v>756</v>
      </c>
      <c r="H153" s="279"/>
      <c r="I153" s="279"/>
      <c r="J153" s="279"/>
    </row>
    <row r="154" spans="1:10" x14ac:dyDescent="0.25">
      <c r="A154" s="279" t="s">
        <v>738</v>
      </c>
      <c r="B154" s="279" t="s">
        <v>776</v>
      </c>
      <c r="C154" s="279">
        <v>1.5416296296296295E-5</v>
      </c>
      <c r="D154" s="279"/>
      <c r="E154" s="279"/>
      <c r="F154" s="280">
        <v>0</v>
      </c>
      <c r="G154" s="279" t="s">
        <v>757</v>
      </c>
      <c r="H154" s="279"/>
      <c r="I154" s="279"/>
      <c r="J154" s="279"/>
    </row>
    <row r="155" spans="1:10" x14ac:dyDescent="0.25">
      <c r="A155" s="279" t="s">
        <v>769</v>
      </c>
      <c r="B155" s="279"/>
      <c r="C155" s="279">
        <v>3</v>
      </c>
      <c r="D155" s="279"/>
      <c r="E155" s="279"/>
      <c r="F155" s="280">
        <v>0</v>
      </c>
      <c r="G155" s="279" t="s">
        <v>768</v>
      </c>
      <c r="H155" s="279"/>
      <c r="I155" s="279"/>
      <c r="J155" s="279"/>
    </row>
    <row r="156" spans="1:10" x14ac:dyDescent="0.25">
      <c r="A156" s="279" t="s">
        <v>770</v>
      </c>
      <c r="B156" s="279"/>
      <c r="C156" s="279">
        <v>4</v>
      </c>
      <c r="D156" s="279"/>
      <c r="E156" s="279"/>
      <c r="F156" s="280">
        <v>0</v>
      </c>
      <c r="G156" s="279" t="s">
        <v>772</v>
      </c>
      <c r="H156" s="279"/>
      <c r="I156" s="279"/>
      <c r="J156" s="279"/>
    </row>
    <row r="157" spans="1:10" x14ac:dyDescent="0.25">
      <c r="A157" s="279" t="s">
        <v>767</v>
      </c>
      <c r="B157" s="279" t="s">
        <v>771</v>
      </c>
      <c r="C157" s="279">
        <v>1.3333333333333333</v>
      </c>
      <c r="D157" s="279"/>
      <c r="E157" s="279"/>
      <c r="F157" s="280">
        <v>0</v>
      </c>
      <c r="G157" s="279" t="s">
        <v>773</v>
      </c>
      <c r="H157" s="279"/>
      <c r="I157" s="279"/>
      <c r="J157" s="279"/>
    </row>
    <row r="158" spans="1:10" x14ac:dyDescent="0.25">
      <c r="A158" s="279" t="s">
        <v>777</v>
      </c>
      <c r="B158" s="279" t="s">
        <v>789</v>
      </c>
      <c r="C158" s="279">
        <v>2.8514868859021387E-7</v>
      </c>
      <c r="D158" s="279"/>
      <c r="E158" s="279"/>
      <c r="F158" s="280">
        <v>0</v>
      </c>
      <c r="G158" s="279" t="s">
        <v>393</v>
      </c>
      <c r="H158" s="279"/>
      <c r="I158" s="279"/>
      <c r="J158" s="279"/>
    </row>
    <row r="159" spans="1:10" x14ac:dyDescent="0.25">
      <c r="A159" s="279" t="s">
        <v>778</v>
      </c>
      <c r="B159" s="279" t="s">
        <v>800</v>
      </c>
      <c r="C159" s="279">
        <v>5.0008999999999998E-6</v>
      </c>
      <c r="D159" s="279"/>
      <c r="E159" s="279"/>
      <c r="F159" s="280">
        <v>0</v>
      </c>
      <c r="G159" s="279" t="s">
        <v>783</v>
      </c>
      <c r="H159" s="279"/>
      <c r="I159" s="279"/>
      <c r="J159" s="279"/>
    </row>
    <row r="160" spans="1:10" x14ac:dyDescent="0.25">
      <c r="A160" s="279" t="s">
        <v>779</v>
      </c>
      <c r="B160" s="279" t="s">
        <v>802</v>
      </c>
      <c r="C160" s="279">
        <v>6.124299399141631E-5</v>
      </c>
      <c r="D160" s="279"/>
      <c r="E160" s="279"/>
      <c r="F160" s="280">
        <v>0</v>
      </c>
      <c r="G160" s="279" t="s">
        <v>432</v>
      </c>
      <c r="H160" s="279"/>
      <c r="I160" s="279"/>
      <c r="J160" s="279"/>
    </row>
    <row r="161" spans="1:10" x14ac:dyDescent="0.25">
      <c r="A161" s="279" t="s">
        <v>780</v>
      </c>
      <c r="B161" s="279" t="s">
        <v>790</v>
      </c>
      <c r="C161" s="279">
        <v>1.9392592592592591E-3</v>
      </c>
      <c r="D161" s="279"/>
      <c r="E161" s="279"/>
      <c r="F161" s="280">
        <v>0</v>
      </c>
      <c r="G161" s="279" t="s">
        <v>396</v>
      </c>
      <c r="H161" s="279"/>
      <c r="I161" s="279"/>
      <c r="J161" s="279"/>
    </row>
    <row r="162" spans="1:10" x14ac:dyDescent="0.25">
      <c r="A162" s="279" t="s">
        <v>781</v>
      </c>
      <c r="B162" s="279" t="s">
        <v>791</v>
      </c>
      <c r="C162" s="279">
        <v>1.348148148148148E-4</v>
      </c>
      <c r="D162" s="279"/>
      <c r="E162" s="279"/>
      <c r="F162" s="280">
        <v>0</v>
      </c>
      <c r="G162" s="279" t="s">
        <v>395</v>
      </c>
      <c r="H162" s="279"/>
      <c r="I162" s="279"/>
      <c r="J162" s="279"/>
    </row>
    <row r="163" spans="1:10" x14ac:dyDescent="0.25">
      <c r="A163" s="279" t="s">
        <v>801</v>
      </c>
      <c r="B163" s="279"/>
      <c r="C163" s="279">
        <v>1</v>
      </c>
      <c r="D163" s="279"/>
      <c r="E163" s="279"/>
      <c r="F163" s="280">
        <v>0</v>
      </c>
      <c r="G163" s="279" t="s">
        <v>797</v>
      </c>
      <c r="H163" s="279"/>
      <c r="I163" s="279"/>
      <c r="J163" s="279"/>
    </row>
    <row r="164" spans="1:10" x14ac:dyDescent="0.25">
      <c r="A164" s="279" t="s">
        <v>799</v>
      </c>
      <c r="B164" s="279"/>
      <c r="C164" s="279">
        <v>1</v>
      </c>
      <c r="D164" s="279"/>
      <c r="E164" s="279"/>
      <c r="F164" s="280">
        <v>0</v>
      </c>
      <c r="G164" s="279" t="s">
        <v>798</v>
      </c>
      <c r="H164" s="279"/>
      <c r="I164" s="279"/>
      <c r="J164" s="279"/>
    </row>
    <row r="165" spans="1:10" x14ac:dyDescent="0.25">
      <c r="A165" t="s">
        <v>16</v>
      </c>
      <c r="B165" s="279" t="s">
        <v>99</v>
      </c>
    </row>
    <row r="166" spans="1:10" x14ac:dyDescent="0.25">
      <c r="A166" t="s">
        <v>546</v>
      </c>
    </row>
    <row r="167" spans="1:10" x14ac:dyDescent="0.25">
      <c r="A167" s="275" t="s">
        <v>19</v>
      </c>
      <c r="B167" t="s">
        <v>21</v>
      </c>
      <c r="C167" t="s">
        <v>547</v>
      </c>
      <c r="D167" t="s">
        <v>22</v>
      </c>
      <c r="E167" t="s">
        <v>23</v>
      </c>
      <c r="F167" t="s">
        <v>24</v>
      </c>
      <c r="G167" t="s">
        <v>548</v>
      </c>
      <c r="H167" t="s">
        <v>543</v>
      </c>
      <c r="I167" t="s">
        <v>25</v>
      </c>
      <c r="J167" t="s">
        <v>549</v>
      </c>
    </row>
    <row r="168" spans="1:10" x14ac:dyDescent="0.25">
      <c r="A168" s="279" t="s">
        <v>781</v>
      </c>
      <c r="B168" s="279" t="s">
        <v>417</v>
      </c>
      <c r="C168" s="279"/>
      <c r="D168" s="279">
        <v>1.348148148148148E-4</v>
      </c>
      <c r="E168" s="279">
        <v>1</v>
      </c>
      <c r="F168" s="279" t="s">
        <v>319</v>
      </c>
      <c r="G168" s="279" t="s">
        <v>95</v>
      </c>
      <c r="H168" s="280">
        <v>0</v>
      </c>
      <c r="I168" s="279" t="s">
        <v>413</v>
      </c>
      <c r="J168" s="279" t="s">
        <v>413</v>
      </c>
    </row>
    <row r="169" spans="1:10" x14ac:dyDescent="0.25">
      <c r="A169" s="279" t="s">
        <v>780</v>
      </c>
      <c r="B169" s="279" t="s">
        <v>418</v>
      </c>
      <c r="C169" s="279"/>
      <c r="D169" s="279">
        <v>1.9392592592592591E-3</v>
      </c>
      <c r="E169" s="279">
        <v>1</v>
      </c>
      <c r="F169" s="279" t="s">
        <v>319</v>
      </c>
      <c r="G169" s="279" t="s">
        <v>95</v>
      </c>
      <c r="H169" s="280">
        <v>0</v>
      </c>
      <c r="I169" s="279" t="s">
        <v>414</v>
      </c>
      <c r="J169" s="279" t="s">
        <v>414</v>
      </c>
    </row>
    <row r="170" spans="1:10" x14ac:dyDescent="0.25">
      <c r="A170" s="279" t="s">
        <v>778</v>
      </c>
      <c r="B170" s="279" t="s">
        <v>694</v>
      </c>
      <c r="C170" s="279"/>
      <c r="D170" s="279">
        <v>5.0008999999999998E-6</v>
      </c>
      <c r="E170" s="279">
        <v>1</v>
      </c>
      <c r="F170" s="279" t="s">
        <v>319</v>
      </c>
      <c r="G170" s="279" t="s">
        <v>95</v>
      </c>
      <c r="H170" s="280">
        <v>0</v>
      </c>
      <c r="I170" s="279" t="s">
        <v>693</v>
      </c>
      <c r="J170" s="279" t="s">
        <v>693</v>
      </c>
    </row>
    <row r="171" spans="1:10" x14ac:dyDescent="0.25">
      <c r="A171" s="279" t="s">
        <v>779</v>
      </c>
      <c r="B171" s="279" t="s">
        <v>416</v>
      </c>
      <c r="C171" s="279"/>
      <c r="D171" s="279">
        <v>6.124299399141631E-5</v>
      </c>
      <c r="E171" s="279">
        <v>1</v>
      </c>
      <c r="F171" s="279" t="s">
        <v>319</v>
      </c>
      <c r="G171" s="279" t="s">
        <v>95</v>
      </c>
      <c r="H171" s="280">
        <v>0</v>
      </c>
      <c r="I171" s="279" t="s">
        <v>415</v>
      </c>
      <c r="J171" s="279" t="s">
        <v>415</v>
      </c>
    </row>
    <row r="172" spans="1:10" x14ac:dyDescent="0.25">
      <c r="A172" s="279"/>
      <c r="B172" s="279" t="s">
        <v>442</v>
      </c>
      <c r="C172" s="279"/>
      <c r="D172" s="279">
        <v>1</v>
      </c>
      <c r="E172" s="279">
        <v>1</v>
      </c>
      <c r="F172" s="279" t="s">
        <v>57</v>
      </c>
      <c r="G172" s="279"/>
      <c r="H172" s="280">
        <v>0</v>
      </c>
      <c r="I172" s="279" t="s">
        <v>439</v>
      </c>
      <c r="J172" s="279" t="s">
        <v>439</v>
      </c>
    </row>
    <row r="173" spans="1:10" x14ac:dyDescent="0.25">
      <c r="A173" s="279"/>
      <c r="B173" s="279" t="s">
        <v>440</v>
      </c>
      <c r="C173" s="279"/>
      <c r="D173" s="279">
        <v>1</v>
      </c>
      <c r="E173" s="279">
        <v>1</v>
      </c>
      <c r="F173" s="279" t="s">
        <v>57</v>
      </c>
      <c r="G173" s="279" t="s">
        <v>95</v>
      </c>
      <c r="H173" s="280">
        <v>0</v>
      </c>
      <c r="I173" s="279" t="s">
        <v>441</v>
      </c>
      <c r="J173" s="279" t="s">
        <v>441</v>
      </c>
    </row>
    <row r="174" spans="1:10" x14ac:dyDescent="0.25">
      <c r="A174" s="279"/>
      <c r="B174" s="279" t="s">
        <v>444</v>
      </c>
      <c r="C174" s="279"/>
      <c r="D174" s="279">
        <v>1</v>
      </c>
      <c r="E174" s="279">
        <v>1</v>
      </c>
      <c r="F174" s="279" t="s">
        <v>445</v>
      </c>
      <c r="G174" s="279" t="s">
        <v>95</v>
      </c>
      <c r="H174" s="280">
        <v>0</v>
      </c>
      <c r="I174" s="279" t="s">
        <v>447</v>
      </c>
      <c r="J174" s="279" t="s">
        <v>447</v>
      </c>
    </row>
    <row r="175" spans="1:10" x14ac:dyDescent="0.25">
      <c r="A175" s="279"/>
      <c r="B175" s="279" t="s">
        <v>446</v>
      </c>
      <c r="C175" s="279"/>
      <c r="D175" s="279">
        <v>1</v>
      </c>
      <c r="E175" s="279">
        <v>1</v>
      </c>
      <c r="F175" s="279" t="s">
        <v>445</v>
      </c>
      <c r="G175" s="279" t="s">
        <v>95</v>
      </c>
      <c r="H175" s="280">
        <v>0</v>
      </c>
      <c r="I175" s="279" t="s">
        <v>448</v>
      </c>
      <c r="J175" s="279" t="s">
        <v>448</v>
      </c>
    </row>
    <row r="176" spans="1:10" x14ac:dyDescent="0.25">
      <c r="A176" t="s">
        <v>550</v>
      </c>
    </row>
    <row r="177" spans="1:10" x14ac:dyDescent="0.25">
      <c r="A177" s="275" t="s">
        <v>19</v>
      </c>
      <c r="B177" t="s">
        <v>21</v>
      </c>
      <c r="C177" t="s">
        <v>547</v>
      </c>
      <c r="D177" t="s">
        <v>22</v>
      </c>
      <c r="E177" t="s">
        <v>23</v>
      </c>
      <c r="F177" t="s">
        <v>24</v>
      </c>
      <c r="G177" t="s">
        <v>548</v>
      </c>
      <c r="H177" t="s">
        <v>543</v>
      </c>
      <c r="I177" t="s">
        <v>25</v>
      </c>
      <c r="J177" t="s">
        <v>549</v>
      </c>
    </row>
    <row r="178" spans="1:10" x14ac:dyDescent="0.25">
      <c r="A178" s="279"/>
      <c r="B178" s="279" t="s">
        <v>443</v>
      </c>
      <c r="C178" s="279"/>
      <c r="D178" s="279">
        <v>1</v>
      </c>
      <c r="E178" s="279">
        <v>1</v>
      </c>
      <c r="F178" s="279" t="s">
        <v>57</v>
      </c>
      <c r="G178" s="279" t="s">
        <v>95</v>
      </c>
      <c r="H178" s="280">
        <v>0</v>
      </c>
      <c r="I178" s="279" t="s">
        <v>90</v>
      </c>
      <c r="J178" s="279" t="s">
        <v>90</v>
      </c>
    </row>
    <row r="179" spans="1:10" x14ac:dyDescent="0.25">
      <c r="A179" s="279" t="s">
        <v>429</v>
      </c>
      <c r="B179" s="279" t="s">
        <v>420</v>
      </c>
      <c r="C179" s="279"/>
      <c r="D179" s="279">
        <v>1.0586961732175654E-5</v>
      </c>
      <c r="E179" s="279">
        <v>1</v>
      </c>
      <c r="F179" s="279" t="s">
        <v>319</v>
      </c>
      <c r="G179" s="279"/>
      <c r="H179" s="280">
        <v>0</v>
      </c>
      <c r="I179" s="279" t="s">
        <v>296</v>
      </c>
      <c r="J179" s="279" t="s">
        <v>296</v>
      </c>
    </row>
    <row r="180" spans="1:10" x14ac:dyDescent="0.25">
      <c r="A180" s="279" t="s">
        <v>427</v>
      </c>
      <c r="B180" s="279" t="s">
        <v>419</v>
      </c>
      <c r="C180" s="279"/>
      <c r="D180" s="279">
        <v>7.4726279710325021E-7</v>
      </c>
      <c r="E180" s="279">
        <v>1</v>
      </c>
      <c r="F180" s="279" t="s">
        <v>319</v>
      </c>
      <c r="G180" s="279"/>
      <c r="H180" s="280">
        <v>0</v>
      </c>
      <c r="I180" s="279" t="s">
        <v>296</v>
      </c>
      <c r="J180" s="279" t="s">
        <v>296</v>
      </c>
    </row>
    <row r="181" spans="1:10" x14ac:dyDescent="0.25">
      <c r="A181" s="279" t="s">
        <v>777</v>
      </c>
      <c r="B181" s="279" t="s">
        <v>405</v>
      </c>
      <c r="C181" s="279"/>
      <c r="D181" s="279">
        <v>2.8514868859021387E-7</v>
      </c>
      <c r="E181" s="279">
        <v>1</v>
      </c>
      <c r="F181" s="279" t="s">
        <v>319</v>
      </c>
      <c r="G181" s="279"/>
      <c r="H181" s="280">
        <v>0</v>
      </c>
      <c r="I181" s="279" t="s">
        <v>296</v>
      </c>
      <c r="J181" s="279" t="s">
        <v>296</v>
      </c>
    </row>
    <row r="182" spans="1:10" x14ac:dyDescent="0.25">
      <c r="A182" s="279" t="s">
        <v>738</v>
      </c>
      <c r="B182" s="279" t="s">
        <v>758</v>
      </c>
      <c r="C182" s="279"/>
      <c r="D182" s="279">
        <v>1.5416296296296295E-5</v>
      </c>
      <c r="E182" s="279">
        <v>1</v>
      </c>
      <c r="F182" s="279" t="s">
        <v>319</v>
      </c>
      <c r="G182" s="279"/>
      <c r="H182" s="280">
        <v>0</v>
      </c>
      <c r="I182" s="279" t="s">
        <v>296</v>
      </c>
      <c r="J182" s="279" t="s">
        <v>296</v>
      </c>
    </row>
    <row r="183" spans="1:10" x14ac:dyDescent="0.25">
      <c r="A183" t="s">
        <v>549</v>
      </c>
    </row>
    <row r="185" spans="1:10" x14ac:dyDescent="0.25">
      <c r="A185" t="s">
        <v>551</v>
      </c>
    </row>
    <row r="186" spans="1:10" x14ac:dyDescent="0.25">
      <c r="A186" s="275" t="s">
        <v>19</v>
      </c>
      <c r="B186" t="s">
        <v>21</v>
      </c>
      <c r="C186" t="s">
        <v>552</v>
      </c>
      <c r="D186" t="s">
        <v>22</v>
      </c>
      <c r="E186" t="s">
        <v>553</v>
      </c>
      <c r="F186" t="s">
        <v>24</v>
      </c>
      <c r="G186" t="s">
        <v>554</v>
      </c>
      <c r="H186" t="s">
        <v>555</v>
      </c>
      <c r="I186" t="s">
        <v>24</v>
      </c>
    </row>
    <row r="187" spans="1:10" x14ac:dyDescent="0.25">
      <c r="A187" t="s">
        <v>556</v>
      </c>
    </row>
    <row r="188" spans="1:10" x14ac:dyDescent="0.25">
      <c r="A188" s="275" t="s">
        <v>19</v>
      </c>
      <c r="B188" t="s">
        <v>557</v>
      </c>
      <c r="C188" t="s">
        <v>558</v>
      </c>
      <c r="D188" t="s">
        <v>24</v>
      </c>
      <c r="E188" s="275" t="s">
        <v>559</v>
      </c>
      <c r="F188" t="s">
        <v>24</v>
      </c>
      <c r="G188" t="s">
        <v>554</v>
      </c>
      <c r="H188" t="s">
        <v>555</v>
      </c>
      <c r="I188" t="s">
        <v>24</v>
      </c>
    </row>
    <row r="189" spans="1:10" x14ac:dyDescent="0.25">
      <c r="A189" t="s">
        <v>560</v>
      </c>
    </row>
    <row r="190" spans="1:10" x14ac:dyDescent="0.25">
      <c r="A190" s="275" t="s">
        <v>19</v>
      </c>
      <c r="B190" t="s">
        <v>561</v>
      </c>
      <c r="C190" t="s">
        <v>558</v>
      </c>
      <c r="D190" t="s">
        <v>24</v>
      </c>
      <c r="E190" t="s">
        <v>562</v>
      </c>
      <c r="F190" t="s">
        <v>24</v>
      </c>
      <c r="G190" t="s">
        <v>554</v>
      </c>
      <c r="H190" t="s">
        <v>555</v>
      </c>
      <c r="I190" t="s">
        <v>24</v>
      </c>
    </row>
    <row r="191" spans="1:10" x14ac:dyDescent="0.25">
      <c r="A191" t="s">
        <v>563</v>
      </c>
    </row>
    <row r="192" spans="1:10" x14ac:dyDescent="0.25">
      <c r="A192" t="s">
        <v>564</v>
      </c>
      <c r="B192">
        <v>1</v>
      </c>
    </row>
    <row r="193" spans="1:10" x14ac:dyDescent="0.25">
      <c r="A193" t="s">
        <v>472</v>
      </c>
      <c r="B193">
        <v>2012</v>
      </c>
    </row>
    <row r="194" spans="1:10" x14ac:dyDescent="0.25">
      <c r="A194" t="s">
        <v>16</v>
      </c>
      <c r="B194" t="s">
        <v>545</v>
      </c>
    </row>
    <row r="195" spans="1:10" x14ac:dyDescent="0.25">
      <c r="A195" t="s">
        <v>549</v>
      </c>
    </row>
    <row r="197" spans="1:10" x14ac:dyDescent="0.25">
      <c r="A197" t="s">
        <v>565</v>
      </c>
    </row>
    <row r="198" spans="1:10" x14ac:dyDescent="0.25">
      <c r="A198" t="s">
        <v>21</v>
      </c>
      <c r="B198" t="s">
        <v>547</v>
      </c>
      <c r="C198" t="s">
        <v>566</v>
      </c>
      <c r="D198" t="s">
        <v>24</v>
      </c>
      <c r="E198" t="s">
        <v>543</v>
      </c>
      <c r="F198" t="s">
        <v>25</v>
      </c>
      <c r="G198" t="s">
        <v>567</v>
      </c>
      <c r="H198" t="s">
        <v>24</v>
      </c>
      <c r="I198" t="s">
        <v>543</v>
      </c>
      <c r="J198" t="s">
        <v>25</v>
      </c>
    </row>
    <row r="199" spans="1:10" x14ac:dyDescent="0.25">
      <c r="A199" t="s">
        <v>568</v>
      </c>
      <c r="B199" t="s">
        <v>569</v>
      </c>
      <c r="C199">
        <v>0</v>
      </c>
      <c r="D199" t="s">
        <v>570</v>
      </c>
      <c r="E199" s="278">
        <v>0</v>
      </c>
      <c r="F199" t="s">
        <v>571</v>
      </c>
      <c r="G199">
        <v>0</v>
      </c>
      <c r="H199" t="s">
        <v>570</v>
      </c>
      <c r="I199" s="278">
        <v>0</v>
      </c>
      <c r="J199" t="s">
        <v>571</v>
      </c>
    </row>
    <row r="200" spans="1:10" x14ac:dyDescent="0.25">
      <c r="A200" t="s">
        <v>572</v>
      </c>
      <c r="B200" t="s">
        <v>569</v>
      </c>
      <c r="C200">
        <v>0</v>
      </c>
      <c r="D200" t="s">
        <v>570</v>
      </c>
      <c r="E200" s="278">
        <v>0</v>
      </c>
      <c r="F200" t="s">
        <v>571</v>
      </c>
      <c r="G200">
        <v>0</v>
      </c>
      <c r="H200" t="s">
        <v>570</v>
      </c>
      <c r="I200" s="278">
        <v>0</v>
      </c>
      <c r="J200" t="s">
        <v>571</v>
      </c>
    </row>
    <row r="201" spans="1:10" x14ac:dyDescent="0.25">
      <c r="A201" t="s">
        <v>573</v>
      </c>
      <c r="B201" t="s">
        <v>569</v>
      </c>
      <c r="C201">
        <v>0</v>
      </c>
      <c r="D201" t="s">
        <v>570</v>
      </c>
      <c r="E201" s="278">
        <v>0</v>
      </c>
      <c r="F201" t="s">
        <v>571</v>
      </c>
      <c r="G201">
        <v>0</v>
      </c>
      <c r="H201" t="s">
        <v>570</v>
      </c>
      <c r="I201" s="278">
        <v>0</v>
      </c>
      <c r="J201" t="s">
        <v>571</v>
      </c>
    </row>
    <row r="202" spans="1:10" x14ac:dyDescent="0.25">
      <c r="A202" t="s">
        <v>574</v>
      </c>
      <c r="B202" t="s">
        <v>569</v>
      </c>
      <c r="C202">
        <v>0</v>
      </c>
      <c r="D202" t="s">
        <v>570</v>
      </c>
      <c r="E202" s="278">
        <v>0</v>
      </c>
      <c r="F202" t="s">
        <v>571</v>
      </c>
      <c r="G202">
        <v>0</v>
      </c>
      <c r="H202" t="s">
        <v>570</v>
      </c>
      <c r="I202" s="278">
        <v>0</v>
      </c>
      <c r="J202" t="s">
        <v>571</v>
      </c>
    </row>
    <row r="203" spans="1:10" x14ac:dyDescent="0.25">
      <c r="A203" t="s">
        <v>575</v>
      </c>
      <c r="B203" t="s">
        <v>569</v>
      </c>
      <c r="C203">
        <v>0</v>
      </c>
      <c r="D203" t="s">
        <v>570</v>
      </c>
      <c r="E203" s="278">
        <v>0</v>
      </c>
      <c r="F203" t="s">
        <v>571</v>
      </c>
      <c r="G203">
        <v>0</v>
      </c>
      <c r="H203" t="s">
        <v>570</v>
      </c>
      <c r="I203" s="278">
        <v>0</v>
      </c>
      <c r="J203" t="s">
        <v>571</v>
      </c>
    </row>
    <row r="204" spans="1:10" x14ac:dyDescent="0.25">
      <c r="A204" t="s">
        <v>576</v>
      </c>
    </row>
    <row r="205" spans="1:10" x14ac:dyDescent="0.25">
      <c r="A205" t="s">
        <v>21</v>
      </c>
      <c r="B205" t="s">
        <v>547</v>
      </c>
      <c r="C205" t="s">
        <v>566</v>
      </c>
      <c r="D205" t="s">
        <v>24</v>
      </c>
      <c r="E205" t="s">
        <v>543</v>
      </c>
      <c r="F205" t="s">
        <v>25</v>
      </c>
      <c r="G205" t="s">
        <v>567</v>
      </c>
      <c r="H205" t="s">
        <v>24</v>
      </c>
      <c r="I205" t="s">
        <v>543</v>
      </c>
      <c r="J205" t="s">
        <v>25</v>
      </c>
    </row>
    <row r="206" spans="1:10" x14ac:dyDescent="0.25">
      <c r="A206" t="s">
        <v>577</v>
      </c>
      <c r="B206" t="s">
        <v>578</v>
      </c>
      <c r="C206">
        <v>0</v>
      </c>
      <c r="D206" t="s">
        <v>579</v>
      </c>
      <c r="E206" s="278">
        <v>0</v>
      </c>
      <c r="F206" t="s">
        <v>571</v>
      </c>
      <c r="G206">
        <v>0</v>
      </c>
      <c r="H206" t="s">
        <v>579</v>
      </c>
      <c r="I206" s="278">
        <v>0</v>
      </c>
      <c r="J206" t="s">
        <v>571</v>
      </c>
    </row>
    <row r="207" spans="1:10" x14ac:dyDescent="0.25">
      <c r="A207" t="s">
        <v>580</v>
      </c>
      <c r="B207" t="s">
        <v>578</v>
      </c>
      <c r="C207">
        <v>0</v>
      </c>
      <c r="D207" t="s">
        <v>579</v>
      </c>
      <c r="E207" s="278">
        <v>0</v>
      </c>
      <c r="F207" t="s">
        <v>571</v>
      </c>
      <c r="G207">
        <v>0</v>
      </c>
      <c r="H207" t="s">
        <v>579</v>
      </c>
      <c r="I207" s="278">
        <v>0</v>
      </c>
      <c r="J207" t="s">
        <v>571</v>
      </c>
    </row>
    <row r="208" spans="1:10" x14ac:dyDescent="0.25">
      <c r="A208" t="s">
        <v>581</v>
      </c>
      <c r="B208" t="s">
        <v>569</v>
      </c>
      <c r="C208">
        <v>0</v>
      </c>
      <c r="D208" t="s">
        <v>570</v>
      </c>
      <c r="E208" s="278">
        <v>0</v>
      </c>
      <c r="F208" t="s">
        <v>571</v>
      </c>
      <c r="G208">
        <v>0</v>
      </c>
      <c r="H208" t="s">
        <v>570</v>
      </c>
      <c r="I208" s="278">
        <v>0</v>
      </c>
      <c r="J208" t="s">
        <v>571</v>
      </c>
    </row>
    <row r="209" spans="1:10" x14ac:dyDescent="0.25">
      <c r="A209" t="s">
        <v>582</v>
      </c>
    </row>
    <row r="210" spans="1:10" x14ac:dyDescent="0.25">
      <c r="A210" t="s">
        <v>21</v>
      </c>
      <c r="B210" t="s">
        <v>547</v>
      </c>
      <c r="C210" t="s">
        <v>566</v>
      </c>
      <c r="D210" t="s">
        <v>24</v>
      </c>
      <c r="E210" t="s">
        <v>543</v>
      </c>
      <c r="F210" t="s">
        <v>25</v>
      </c>
      <c r="G210" t="s">
        <v>567</v>
      </c>
      <c r="H210" t="s">
        <v>24</v>
      </c>
      <c r="I210" t="s">
        <v>543</v>
      </c>
      <c r="J210" t="s">
        <v>25</v>
      </c>
    </row>
    <row r="211" spans="1:10" x14ac:dyDescent="0.25">
      <c r="A211" t="s">
        <v>583</v>
      </c>
      <c r="B211" t="s">
        <v>569</v>
      </c>
      <c r="C211">
        <v>0</v>
      </c>
      <c r="D211" t="s">
        <v>570</v>
      </c>
      <c r="E211" s="278">
        <v>0</v>
      </c>
      <c r="F211" t="s">
        <v>571</v>
      </c>
      <c r="G211">
        <v>0</v>
      </c>
      <c r="H211" t="s">
        <v>570</v>
      </c>
      <c r="I211" s="278">
        <v>0</v>
      </c>
      <c r="J211" t="s">
        <v>571</v>
      </c>
    </row>
    <row r="212" spans="1:10" x14ac:dyDescent="0.25">
      <c r="A212" t="s">
        <v>584</v>
      </c>
      <c r="B212" t="s">
        <v>569</v>
      </c>
      <c r="C212">
        <v>0</v>
      </c>
      <c r="D212" t="s">
        <v>570</v>
      </c>
      <c r="E212" s="278">
        <v>0</v>
      </c>
      <c r="F212" t="s">
        <v>571</v>
      </c>
      <c r="G212">
        <v>0</v>
      </c>
      <c r="H212" t="s">
        <v>570</v>
      </c>
      <c r="I212" s="278">
        <v>0</v>
      </c>
      <c r="J212" t="s">
        <v>571</v>
      </c>
    </row>
    <row r="213" spans="1:10" x14ac:dyDescent="0.25">
      <c r="A213" t="s">
        <v>585</v>
      </c>
      <c r="B213" t="s">
        <v>569</v>
      </c>
      <c r="C213">
        <v>0</v>
      </c>
      <c r="D213" t="s">
        <v>570</v>
      </c>
      <c r="E213" s="278">
        <v>0</v>
      </c>
      <c r="F213" t="s">
        <v>571</v>
      </c>
      <c r="G213">
        <v>0</v>
      </c>
      <c r="H213" t="s">
        <v>570</v>
      </c>
      <c r="I213" s="278">
        <v>0</v>
      </c>
      <c r="J213" t="s">
        <v>571</v>
      </c>
    </row>
    <row r="214" spans="1:10" x14ac:dyDescent="0.25">
      <c r="A214" t="s">
        <v>586</v>
      </c>
      <c r="B214" t="s">
        <v>569</v>
      </c>
      <c r="C214">
        <v>0</v>
      </c>
      <c r="D214" t="s">
        <v>570</v>
      </c>
      <c r="E214" s="278">
        <v>0</v>
      </c>
      <c r="F214" t="s">
        <v>571</v>
      </c>
      <c r="G214">
        <v>0</v>
      </c>
      <c r="H214" t="s">
        <v>570</v>
      </c>
      <c r="I214" s="278">
        <v>0</v>
      </c>
      <c r="J214" t="s">
        <v>571</v>
      </c>
    </row>
    <row r="215" spans="1:10" x14ac:dyDescent="0.25">
      <c r="A215" t="s">
        <v>587</v>
      </c>
      <c r="B215" t="s">
        <v>569</v>
      </c>
      <c r="C215">
        <v>0</v>
      </c>
      <c r="D215" t="s">
        <v>570</v>
      </c>
      <c r="E215" s="278">
        <v>0</v>
      </c>
      <c r="F215" t="s">
        <v>571</v>
      </c>
      <c r="G215">
        <v>0</v>
      </c>
      <c r="H215" t="s">
        <v>570</v>
      </c>
      <c r="I215" s="278">
        <v>0</v>
      </c>
      <c r="J215" t="s">
        <v>571</v>
      </c>
    </row>
    <row r="216" spans="1:10" x14ac:dyDescent="0.25">
      <c r="A216" t="s">
        <v>588</v>
      </c>
      <c r="B216" t="s">
        <v>569</v>
      </c>
      <c r="C216">
        <v>0</v>
      </c>
      <c r="D216" t="s">
        <v>570</v>
      </c>
      <c r="E216" s="278">
        <v>0</v>
      </c>
      <c r="F216" t="s">
        <v>571</v>
      </c>
      <c r="G216">
        <v>0</v>
      </c>
      <c r="H216" t="s">
        <v>570</v>
      </c>
      <c r="I216" s="278">
        <v>0</v>
      </c>
      <c r="J216" t="s">
        <v>571</v>
      </c>
    </row>
    <row r="217" spans="1:10" x14ac:dyDescent="0.25">
      <c r="A217" t="s">
        <v>589</v>
      </c>
      <c r="B217" t="s">
        <v>569</v>
      </c>
      <c r="C217">
        <v>0</v>
      </c>
      <c r="D217" t="s">
        <v>570</v>
      </c>
      <c r="E217" s="278">
        <v>0</v>
      </c>
      <c r="F217" t="s">
        <v>571</v>
      </c>
      <c r="G217">
        <v>0</v>
      </c>
      <c r="H217" t="s">
        <v>570</v>
      </c>
      <c r="I217" s="278">
        <v>0</v>
      </c>
      <c r="J217" t="s">
        <v>571</v>
      </c>
    </row>
    <row r="218" spans="1:10" x14ac:dyDescent="0.25">
      <c r="A218" t="s">
        <v>590</v>
      </c>
      <c r="B218" t="s">
        <v>569</v>
      </c>
      <c r="C218">
        <v>0</v>
      </c>
      <c r="D218" t="s">
        <v>570</v>
      </c>
      <c r="E218" s="278">
        <v>0</v>
      </c>
      <c r="F218" t="s">
        <v>571</v>
      </c>
      <c r="G218">
        <v>0</v>
      </c>
      <c r="H218" t="s">
        <v>570</v>
      </c>
      <c r="I218" s="278">
        <v>0</v>
      </c>
      <c r="J218" t="s">
        <v>571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84"/>
  <sheetViews>
    <sheetView topLeftCell="A62" zoomScaleNormal="100" workbookViewId="0">
      <selection activeCell="D16" sqref="D16:E16"/>
    </sheetView>
  </sheetViews>
  <sheetFormatPr defaultColWidth="9.140625" defaultRowHeight="12.75" x14ac:dyDescent="0.2"/>
  <cols>
    <col min="1" max="1" width="1.85546875" style="2" customWidth="1"/>
    <col min="2" max="2" width="3.5703125" style="64" customWidth="1"/>
    <col min="3" max="3" width="29.5703125" style="3" customWidth="1"/>
    <col min="4" max="4" width="111.42578125" style="3" customWidth="1"/>
    <col min="5" max="5" width="14.7109375" style="3" customWidth="1"/>
    <col min="6" max="6" width="12.42578125" style="3" customWidth="1"/>
    <col min="7" max="7" width="12.85546875" style="3" customWidth="1"/>
    <col min="8" max="8" width="13.5703125" style="3" customWidth="1"/>
    <col min="9" max="9" width="14.42578125" style="2" customWidth="1"/>
    <col min="10" max="10" width="14.42578125" style="3" customWidth="1"/>
    <col min="11" max="11" width="12" style="3" customWidth="1"/>
    <col min="12" max="12" width="12.5703125" style="3" customWidth="1"/>
    <col min="13" max="13" width="13.42578125" style="3" customWidth="1"/>
    <col min="14" max="14" width="14.5703125" style="3" customWidth="1"/>
    <col min="15" max="15" width="13" style="3" customWidth="1"/>
    <col min="16" max="16" width="49" style="3" customWidth="1"/>
    <col min="17" max="17" width="2.140625" style="2" customWidth="1"/>
    <col min="18" max="18" width="18.140625" style="2" bestFit="1" customWidth="1"/>
    <col min="19"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484" t="s">
        <v>26</v>
      </c>
      <c r="C1" s="484"/>
      <c r="D1" s="484"/>
      <c r="E1" s="484"/>
      <c r="F1" s="484"/>
      <c r="G1" s="484"/>
      <c r="H1" s="484"/>
      <c r="I1" s="484"/>
      <c r="J1" s="484"/>
      <c r="K1" s="484"/>
      <c r="L1" s="484"/>
      <c r="M1" s="484"/>
      <c r="N1" s="484"/>
      <c r="O1" s="484"/>
      <c r="P1" s="484"/>
      <c r="Q1" s="484"/>
    </row>
    <row r="2" spans="1:25" ht="20.25" x14ac:dyDescent="0.3">
      <c r="B2" s="484" t="s">
        <v>54</v>
      </c>
      <c r="C2" s="484"/>
      <c r="D2" s="484"/>
      <c r="E2" s="484"/>
      <c r="F2" s="484"/>
      <c r="G2" s="484"/>
      <c r="H2" s="484"/>
      <c r="I2" s="484"/>
      <c r="J2" s="484"/>
      <c r="K2" s="484"/>
      <c r="L2" s="484"/>
      <c r="M2" s="484"/>
      <c r="N2" s="484"/>
      <c r="O2" s="484"/>
      <c r="P2" s="484"/>
      <c r="Q2" s="484"/>
    </row>
    <row r="3" spans="1:25" ht="5.25" customHeight="1" x14ac:dyDescent="0.2">
      <c r="B3" s="8"/>
      <c r="C3" s="2"/>
      <c r="D3" s="2"/>
      <c r="E3" s="2"/>
      <c r="F3" s="2"/>
      <c r="G3" s="2"/>
      <c r="H3" s="2"/>
      <c r="J3" s="2"/>
      <c r="K3" s="2"/>
      <c r="L3" s="2"/>
      <c r="M3" s="2"/>
      <c r="N3" s="2"/>
      <c r="O3" s="2"/>
      <c r="P3" s="2"/>
    </row>
    <row r="4" spans="1:25" ht="13.5" thickBot="1" x14ac:dyDescent="0.25">
      <c r="B4" s="511" t="s">
        <v>55</v>
      </c>
      <c r="C4" s="511"/>
      <c r="D4" s="243" t="s">
        <v>909</v>
      </c>
      <c r="E4" s="16"/>
      <c r="F4" s="2"/>
      <c r="G4" s="2"/>
      <c r="H4" s="2"/>
      <c r="J4" s="2"/>
      <c r="K4" s="2"/>
      <c r="L4" s="2"/>
      <c r="M4" s="2"/>
      <c r="N4" s="2"/>
      <c r="O4" s="2"/>
      <c r="P4" s="2"/>
    </row>
    <row r="5" spans="1:25" ht="13.5" thickBot="1" x14ac:dyDescent="0.25">
      <c r="B5" s="511" t="s">
        <v>56</v>
      </c>
      <c r="C5" s="511"/>
      <c r="D5" s="17">
        <v>1</v>
      </c>
      <c r="E5" s="248" t="s">
        <v>57</v>
      </c>
      <c r="F5" s="18" t="s">
        <v>58</v>
      </c>
      <c r="G5" s="522" t="s">
        <v>235</v>
      </c>
      <c r="H5" s="522"/>
      <c r="I5" s="522"/>
      <c r="J5" s="522"/>
      <c r="K5" s="2"/>
      <c r="L5" s="2"/>
      <c r="M5" s="19" t="s">
        <v>40</v>
      </c>
      <c r="N5" s="20" t="str">
        <f>DQI!I12</f>
        <v>3,4,5,3,1</v>
      </c>
      <c r="O5" s="21"/>
      <c r="P5" s="13" t="s">
        <v>59</v>
      </c>
    </row>
    <row r="6" spans="1:25" ht="27.75" customHeight="1" x14ac:dyDescent="0.2">
      <c r="B6" s="516" t="s">
        <v>60</v>
      </c>
      <c r="C6" s="517"/>
      <c r="D6" s="518" t="s">
        <v>698</v>
      </c>
      <c r="E6" s="519"/>
      <c r="F6" s="519"/>
      <c r="G6" s="519"/>
      <c r="H6" s="519"/>
      <c r="I6" s="519"/>
      <c r="J6" s="519"/>
      <c r="K6" s="519"/>
      <c r="L6" s="519"/>
      <c r="M6" s="519"/>
      <c r="N6" s="519"/>
      <c r="O6" s="520"/>
      <c r="P6" s="22"/>
    </row>
    <row r="7" spans="1:25" ht="13.5" thickBot="1" x14ac:dyDescent="0.25">
      <c r="B7" s="8"/>
      <c r="C7" s="2"/>
      <c r="D7" s="2"/>
      <c r="E7" s="2"/>
      <c r="F7" s="2"/>
      <c r="G7" s="2"/>
      <c r="H7" s="2"/>
      <c r="J7" s="2"/>
      <c r="K7" s="2"/>
      <c r="L7" s="2"/>
      <c r="M7" s="2"/>
      <c r="N7" s="2"/>
      <c r="O7" s="2"/>
      <c r="P7" s="2"/>
    </row>
    <row r="8" spans="1:25" s="24" customFormat="1" ht="13.5" thickBot="1" x14ac:dyDescent="0.25">
      <c r="A8" s="23"/>
      <c r="B8" s="504" t="s">
        <v>61</v>
      </c>
      <c r="C8" s="505"/>
      <c r="D8" s="505"/>
      <c r="E8" s="505"/>
      <c r="F8" s="505"/>
      <c r="G8" s="505"/>
      <c r="H8" s="505"/>
      <c r="I8" s="505"/>
      <c r="J8" s="505"/>
      <c r="K8" s="505"/>
      <c r="L8" s="505"/>
      <c r="M8" s="505"/>
      <c r="N8" s="505"/>
      <c r="O8" s="505"/>
      <c r="P8" s="506"/>
      <c r="Q8" s="23"/>
      <c r="R8" s="23"/>
      <c r="S8" s="23"/>
      <c r="T8" s="23"/>
      <c r="U8" s="23"/>
      <c r="V8" s="23"/>
      <c r="W8" s="23"/>
      <c r="X8" s="23"/>
      <c r="Y8" s="23"/>
    </row>
    <row r="9" spans="1:25" x14ac:dyDescent="0.2">
      <c r="B9" s="8"/>
      <c r="C9" s="2"/>
      <c r="D9" s="2"/>
      <c r="E9" s="2"/>
      <c r="F9" s="2"/>
      <c r="G9" s="2"/>
      <c r="H9" s="2"/>
      <c r="J9" s="2"/>
      <c r="K9" s="2"/>
      <c r="L9" s="2"/>
      <c r="M9" s="2"/>
      <c r="N9" s="2"/>
      <c r="O9" s="2"/>
      <c r="P9" s="2"/>
    </row>
    <row r="10" spans="1:25" x14ac:dyDescent="0.2">
      <c r="B10" s="511" t="s">
        <v>62</v>
      </c>
      <c r="C10" s="511"/>
      <c r="D10" s="521" t="s">
        <v>219</v>
      </c>
      <c r="E10" s="510"/>
      <c r="F10" s="2"/>
      <c r="G10" s="25" t="s">
        <v>63</v>
      </c>
      <c r="H10" s="26"/>
      <c r="I10" s="26"/>
      <c r="J10" s="26"/>
      <c r="K10" s="26"/>
      <c r="L10" s="26"/>
      <c r="M10" s="26"/>
      <c r="N10" s="26"/>
      <c r="O10" s="27"/>
      <c r="P10" s="2"/>
    </row>
    <row r="11" spans="1:25" x14ac:dyDescent="0.2">
      <c r="B11" s="507" t="s">
        <v>64</v>
      </c>
      <c r="C11" s="508"/>
      <c r="D11" s="509" t="s">
        <v>219</v>
      </c>
      <c r="E11" s="510"/>
      <c r="F11" s="2"/>
      <c r="G11" s="28" t="str">
        <f>CONCATENATE("Reference Flow: ",D5," ",E5," of ",G5)</f>
        <v>Reference Flow: 1 kg of Coal</v>
      </c>
      <c r="H11" s="29"/>
      <c r="I11" s="29"/>
      <c r="J11" s="29"/>
      <c r="K11" s="29"/>
      <c r="L11" s="29"/>
      <c r="M11" s="29"/>
      <c r="N11" s="29"/>
      <c r="O11" s="30"/>
      <c r="P11" s="2"/>
    </row>
    <row r="12" spans="1:25" x14ac:dyDescent="0.2">
      <c r="B12" s="511" t="s">
        <v>65</v>
      </c>
      <c r="C12" s="511"/>
      <c r="D12" s="512" t="s">
        <v>398</v>
      </c>
      <c r="E12" s="512"/>
      <c r="F12" s="2"/>
      <c r="G12" s="28"/>
      <c r="H12" s="29"/>
      <c r="I12" s="29"/>
      <c r="J12" s="29"/>
      <c r="K12" s="29"/>
      <c r="L12" s="29"/>
      <c r="M12" s="29"/>
      <c r="N12" s="29"/>
      <c r="O12" s="30"/>
      <c r="P12" s="2"/>
    </row>
    <row r="13" spans="1:25" ht="12.75" customHeight="1" x14ac:dyDescent="0.2">
      <c r="B13" s="511" t="s">
        <v>66</v>
      </c>
      <c r="C13" s="511"/>
      <c r="D13" s="512" t="s">
        <v>1</v>
      </c>
      <c r="E13" s="512"/>
      <c r="F13" s="2"/>
      <c r="G13" s="513" t="s">
        <v>699</v>
      </c>
      <c r="H13" s="514"/>
      <c r="I13" s="514"/>
      <c r="J13" s="514"/>
      <c r="K13" s="514"/>
      <c r="L13" s="514"/>
      <c r="M13" s="514"/>
      <c r="N13" s="514"/>
      <c r="O13" s="515"/>
      <c r="P13" s="2"/>
    </row>
    <row r="14" spans="1:25" x14ac:dyDescent="0.2">
      <c r="B14" s="511" t="s">
        <v>67</v>
      </c>
      <c r="C14" s="511"/>
      <c r="D14" s="512" t="s">
        <v>8</v>
      </c>
      <c r="E14" s="512"/>
      <c r="F14" s="2"/>
      <c r="G14" s="513"/>
      <c r="H14" s="514"/>
      <c r="I14" s="514"/>
      <c r="J14" s="514"/>
      <c r="K14" s="514"/>
      <c r="L14" s="514"/>
      <c r="M14" s="514"/>
      <c r="N14" s="514"/>
      <c r="O14" s="515"/>
      <c r="P14" s="2"/>
    </row>
    <row r="15" spans="1:25" x14ac:dyDescent="0.2">
      <c r="B15" s="511" t="s">
        <v>68</v>
      </c>
      <c r="C15" s="511"/>
      <c r="D15" s="512" t="s">
        <v>18</v>
      </c>
      <c r="E15" s="512"/>
      <c r="F15" s="2"/>
      <c r="G15" s="513"/>
      <c r="H15" s="514"/>
      <c r="I15" s="514"/>
      <c r="J15" s="514"/>
      <c r="K15" s="514"/>
      <c r="L15" s="514"/>
      <c r="M15" s="514"/>
      <c r="N15" s="514"/>
      <c r="O15" s="515"/>
      <c r="P15" s="2"/>
    </row>
    <row r="16" spans="1:25" x14ac:dyDescent="0.2">
      <c r="B16" s="511" t="s">
        <v>69</v>
      </c>
      <c r="C16" s="511"/>
      <c r="D16" s="512" t="s">
        <v>99</v>
      </c>
      <c r="E16" s="512"/>
      <c r="F16" s="2"/>
      <c r="G16" s="513"/>
      <c r="H16" s="514"/>
      <c r="I16" s="514"/>
      <c r="J16" s="514"/>
      <c r="K16" s="514"/>
      <c r="L16" s="514"/>
      <c r="M16" s="514"/>
      <c r="N16" s="514"/>
      <c r="O16" s="515"/>
      <c r="P16" s="2"/>
    </row>
    <row r="17" spans="1:25" ht="23.45" customHeight="1" x14ac:dyDescent="0.2">
      <c r="B17" s="523" t="s">
        <v>70</v>
      </c>
      <c r="C17" s="524"/>
      <c r="D17" s="525"/>
      <c r="E17" s="525"/>
      <c r="F17" s="2"/>
      <c r="G17" s="31" t="s">
        <v>234</v>
      </c>
      <c r="H17" s="32"/>
      <c r="I17" s="32"/>
      <c r="J17" s="32"/>
      <c r="K17" s="32"/>
      <c r="L17" s="32"/>
      <c r="M17" s="32"/>
      <c r="N17" s="32"/>
      <c r="O17" s="33"/>
      <c r="P17" s="2"/>
    </row>
    <row r="18" spans="1:25" x14ac:dyDescent="0.2">
      <c r="B18" s="8"/>
      <c r="C18" s="2"/>
      <c r="D18" s="2"/>
      <c r="E18" s="413"/>
      <c r="F18" s="2"/>
      <c r="G18" s="2"/>
      <c r="H18" s="2"/>
      <c r="J18" s="2"/>
      <c r="K18" s="2"/>
      <c r="L18" s="2"/>
      <c r="M18" s="2"/>
      <c r="N18" s="2"/>
      <c r="O18" s="2"/>
      <c r="P18" s="2"/>
    </row>
    <row r="19" spans="1:25" ht="13.5" thickBot="1" x14ac:dyDescent="0.25">
      <c r="B19" s="8"/>
      <c r="C19" s="2"/>
      <c r="D19" s="2"/>
      <c r="E19" s="2"/>
      <c r="F19" s="2"/>
      <c r="G19" s="2"/>
      <c r="H19" s="2"/>
      <c r="J19" s="2"/>
      <c r="K19" s="2"/>
      <c r="L19" s="2"/>
      <c r="M19" s="2"/>
      <c r="N19" s="2"/>
      <c r="O19" s="2"/>
      <c r="P19" s="2"/>
    </row>
    <row r="20" spans="1:25" s="24" customFormat="1" ht="13.5" thickBot="1" x14ac:dyDescent="0.25">
      <c r="A20" s="23"/>
      <c r="B20" s="504" t="s">
        <v>71</v>
      </c>
      <c r="C20" s="505"/>
      <c r="D20" s="505"/>
      <c r="E20" s="505"/>
      <c r="F20" s="505"/>
      <c r="G20" s="505"/>
      <c r="H20" s="505"/>
      <c r="I20" s="505"/>
      <c r="J20" s="505"/>
      <c r="K20" s="505"/>
      <c r="L20" s="505"/>
      <c r="M20" s="505"/>
      <c r="N20" s="505"/>
      <c r="O20" s="505"/>
      <c r="P20" s="506"/>
      <c r="Q20" s="23"/>
      <c r="R20" s="23"/>
      <c r="S20" s="23"/>
      <c r="T20" s="23"/>
      <c r="U20" s="23"/>
      <c r="V20" s="23"/>
      <c r="W20" s="23"/>
      <c r="X20" s="23"/>
      <c r="Y20" s="23"/>
    </row>
    <row r="21" spans="1:25" x14ac:dyDescent="0.2">
      <c r="B21" s="8"/>
      <c r="C21" s="2"/>
      <c r="D21" s="2"/>
      <c r="E21" s="2"/>
      <c r="F21" s="2"/>
      <c r="G21" s="34" t="s">
        <v>72</v>
      </c>
      <c r="H21" s="2"/>
      <c r="J21" s="2"/>
      <c r="K21" s="2"/>
      <c r="L21" s="2"/>
      <c r="M21" s="2"/>
      <c r="N21" s="2"/>
      <c r="O21" s="2"/>
      <c r="P21" s="2"/>
    </row>
    <row r="22" spans="1:25" x14ac:dyDescent="0.2">
      <c r="B22" s="8"/>
      <c r="C22" s="35" t="s">
        <v>73</v>
      </c>
      <c r="D22" s="35" t="s">
        <v>20</v>
      </c>
      <c r="E22" s="35" t="s">
        <v>0</v>
      </c>
      <c r="F22" s="35" t="s">
        <v>74</v>
      </c>
      <c r="G22" s="35" t="s">
        <v>75</v>
      </c>
      <c r="H22" s="35" t="s">
        <v>24</v>
      </c>
      <c r="I22" s="35" t="s">
        <v>76</v>
      </c>
      <c r="J22" s="526" t="s">
        <v>77</v>
      </c>
      <c r="K22" s="527"/>
      <c r="L22" s="527"/>
      <c r="M22" s="527"/>
      <c r="N22" s="527"/>
      <c r="O22" s="527"/>
      <c r="P22" s="528"/>
    </row>
    <row r="23" spans="1:25" x14ac:dyDescent="0.2">
      <c r="B23" s="13">
        <f>LEN(C23)</f>
        <v>4</v>
      </c>
      <c r="C23" s="36" t="s">
        <v>853</v>
      </c>
      <c r="D23" s="37"/>
      <c r="E23" s="270">
        <f>PS!C7</f>
        <v>9.6997449844369244E-7</v>
      </c>
      <c r="F23" s="238"/>
      <c r="G23" s="238"/>
      <c r="H23" s="239" t="s">
        <v>319</v>
      </c>
      <c r="I23" s="240" t="s">
        <v>895</v>
      </c>
      <c r="J23" s="509" t="s">
        <v>858</v>
      </c>
      <c r="K23" s="529"/>
      <c r="L23" s="529"/>
      <c r="M23" s="529"/>
      <c r="N23" s="529"/>
      <c r="O23" s="529"/>
      <c r="P23" s="530"/>
    </row>
    <row r="24" spans="1:25" x14ac:dyDescent="0.2">
      <c r="B24" s="13">
        <f>LEN(C24)</f>
        <v>10</v>
      </c>
      <c r="C24" s="36" t="s">
        <v>426</v>
      </c>
      <c r="D24" s="37" t="s">
        <v>854</v>
      </c>
      <c r="E24" s="270">
        <f>E23*E41</f>
        <v>9.6997449844369244E-7</v>
      </c>
      <c r="F24" s="238"/>
      <c r="G24" s="238"/>
      <c r="H24" s="239" t="s">
        <v>319</v>
      </c>
      <c r="I24" s="240" t="s">
        <v>895</v>
      </c>
      <c r="J24" s="509" t="s">
        <v>430</v>
      </c>
      <c r="K24" s="529"/>
      <c r="L24" s="529"/>
      <c r="M24" s="529"/>
      <c r="N24" s="529"/>
      <c r="O24" s="529"/>
      <c r="P24" s="530"/>
    </row>
    <row r="25" spans="1:25" x14ac:dyDescent="0.2">
      <c r="B25" s="13">
        <f t="shared" ref="B25:B38" si="0">LEN(C25)</f>
        <v>10</v>
      </c>
      <c r="C25" s="36" t="s">
        <v>427</v>
      </c>
      <c r="D25" s="145" t="s">
        <v>435</v>
      </c>
      <c r="E25" s="270">
        <f>E24*(1-E36)</f>
        <v>1.4549617476655388E-7</v>
      </c>
      <c r="F25" s="238"/>
      <c r="G25" s="238"/>
      <c r="H25" s="239" t="s">
        <v>319</v>
      </c>
      <c r="I25" s="240" t="s">
        <v>895</v>
      </c>
      <c r="J25" s="236" t="s">
        <v>438</v>
      </c>
      <c r="K25" s="236"/>
      <c r="L25" s="236"/>
      <c r="M25" s="236"/>
      <c r="N25" s="236"/>
      <c r="O25" s="236"/>
      <c r="P25" s="237"/>
    </row>
    <row r="26" spans="1:25" x14ac:dyDescent="0.2">
      <c r="B26" s="13">
        <f t="shared" si="0"/>
        <v>9</v>
      </c>
      <c r="C26" s="36" t="s">
        <v>914</v>
      </c>
      <c r="D26" s="145"/>
      <c r="E26" s="270">
        <f>PS!C8</f>
        <v>5.9668350023724217E-6</v>
      </c>
      <c r="F26" s="238"/>
      <c r="G26" s="238"/>
      <c r="H26" s="239" t="s">
        <v>319</v>
      </c>
      <c r="I26" s="240" t="s">
        <v>918</v>
      </c>
      <c r="J26" s="509" t="s">
        <v>916</v>
      </c>
      <c r="K26" s="529"/>
      <c r="L26" s="529"/>
      <c r="M26" s="529"/>
      <c r="N26" s="529"/>
      <c r="O26" s="529"/>
      <c r="P26" s="530"/>
    </row>
    <row r="27" spans="1:25" x14ac:dyDescent="0.2">
      <c r="B27" s="13">
        <f t="shared" si="0"/>
        <v>15</v>
      </c>
      <c r="C27" s="36" t="s">
        <v>915</v>
      </c>
      <c r="D27" s="37" t="s">
        <v>919</v>
      </c>
      <c r="E27" s="270">
        <f>E26*E41</f>
        <v>5.9668350023724217E-6</v>
      </c>
      <c r="F27" s="238"/>
      <c r="G27" s="238"/>
      <c r="H27" s="239" t="s">
        <v>319</v>
      </c>
      <c r="I27" s="240" t="s">
        <v>918</v>
      </c>
      <c r="J27" s="509" t="s">
        <v>917</v>
      </c>
      <c r="K27" s="529"/>
      <c r="L27" s="529"/>
      <c r="M27" s="529"/>
      <c r="N27" s="529"/>
      <c r="O27" s="529"/>
      <c r="P27" s="530"/>
    </row>
    <row r="28" spans="1:25" x14ac:dyDescent="0.2">
      <c r="B28" s="13">
        <f t="shared" si="0"/>
        <v>15</v>
      </c>
      <c r="C28" s="36" t="s">
        <v>911</v>
      </c>
      <c r="D28" s="145" t="s">
        <v>920</v>
      </c>
      <c r="E28" s="270">
        <f>E27*(1-E36)</f>
        <v>8.9502525035586333E-7</v>
      </c>
      <c r="F28" s="238"/>
      <c r="G28" s="238"/>
      <c r="H28" s="239" t="s">
        <v>319</v>
      </c>
      <c r="I28" s="240" t="s">
        <v>918</v>
      </c>
      <c r="J28" s="434" t="s">
        <v>912</v>
      </c>
      <c r="K28" s="434"/>
      <c r="L28" s="434"/>
      <c r="M28" s="434"/>
      <c r="N28" s="434"/>
      <c r="O28" s="434"/>
      <c r="P28" s="435"/>
    </row>
    <row r="29" spans="1:25" x14ac:dyDescent="0.2">
      <c r="B29" s="13">
        <f t="shared" si="0"/>
        <v>7</v>
      </c>
      <c r="C29" s="36" t="s">
        <v>784</v>
      </c>
      <c r="D29" s="37"/>
      <c r="E29" s="270">
        <f>PS!C9</f>
        <v>0</v>
      </c>
      <c r="F29" s="38"/>
      <c r="G29" s="39"/>
      <c r="H29" s="239" t="s">
        <v>319</v>
      </c>
      <c r="I29" s="241">
        <v>5</v>
      </c>
      <c r="J29" s="509" t="s">
        <v>792</v>
      </c>
      <c r="K29" s="529"/>
      <c r="L29" s="529"/>
      <c r="M29" s="529"/>
      <c r="N29" s="529"/>
      <c r="O29" s="529"/>
      <c r="P29" s="530"/>
    </row>
    <row r="30" spans="1:25" x14ac:dyDescent="0.2">
      <c r="B30" s="13">
        <f t="shared" si="0"/>
        <v>8</v>
      </c>
      <c r="C30" s="36" t="s">
        <v>785</v>
      </c>
      <c r="D30" s="37"/>
      <c r="E30" s="270">
        <f>PS!C10</f>
        <v>0</v>
      </c>
      <c r="F30" s="38"/>
      <c r="G30" s="39"/>
      <c r="H30" s="239" t="s">
        <v>782</v>
      </c>
      <c r="I30" s="241" t="s">
        <v>892</v>
      </c>
      <c r="J30" s="303" t="s">
        <v>793</v>
      </c>
      <c r="K30" s="304"/>
      <c r="L30" s="304"/>
      <c r="M30" s="304"/>
      <c r="N30" s="304"/>
      <c r="O30" s="304"/>
      <c r="P30" s="305"/>
    </row>
    <row r="31" spans="1:25" s="128" customFormat="1" x14ac:dyDescent="0.2">
      <c r="A31" s="13"/>
      <c r="B31" s="13">
        <f t="shared" si="0"/>
        <v>14</v>
      </c>
      <c r="C31" s="470" t="s">
        <v>966</v>
      </c>
      <c r="D31" s="462"/>
      <c r="E31" s="463">
        <f>PS!C11</f>
        <v>0</v>
      </c>
      <c r="F31" s="464"/>
      <c r="G31" s="465"/>
      <c r="H31" s="466" t="s">
        <v>319</v>
      </c>
      <c r="I31" s="467" t="s">
        <v>842</v>
      </c>
      <c r="J31" s="509" t="s">
        <v>959</v>
      </c>
      <c r="K31" s="529"/>
      <c r="L31" s="529"/>
      <c r="M31" s="529"/>
      <c r="N31" s="529"/>
      <c r="O31" s="529"/>
      <c r="P31" s="530"/>
      <c r="Q31" s="13"/>
      <c r="R31" s="13"/>
      <c r="S31" s="13"/>
      <c r="T31" s="13"/>
      <c r="U31" s="13"/>
      <c r="V31" s="13"/>
      <c r="W31" s="13"/>
      <c r="X31" s="13"/>
      <c r="Y31" s="13"/>
    </row>
    <row r="32" spans="1:25" s="128" customFormat="1" x14ac:dyDescent="0.2">
      <c r="A32" s="13"/>
      <c r="B32" s="13">
        <f t="shared" si="0"/>
        <v>13</v>
      </c>
      <c r="C32" s="470" t="s">
        <v>967</v>
      </c>
      <c r="D32" s="462"/>
      <c r="E32" s="463">
        <f>PS!C12</f>
        <v>1.0476913829401758E-4</v>
      </c>
      <c r="F32" s="464"/>
      <c r="G32" s="465"/>
      <c r="H32" s="466" t="s">
        <v>319</v>
      </c>
      <c r="I32" s="467" t="s">
        <v>842</v>
      </c>
      <c r="J32" s="509" t="s">
        <v>960</v>
      </c>
      <c r="K32" s="529"/>
      <c r="L32" s="529"/>
      <c r="M32" s="529"/>
      <c r="N32" s="529"/>
      <c r="O32" s="529"/>
      <c r="P32" s="530"/>
      <c r="Q32" s="13"/>
      <c r="R32" s="13"/>
      <c r="S32" s="13"/>
      <c r="T32" s="13"/>
      <c r="U32" s="13"/>
      <c r="V32" s="13"/>
      <c r="W32" s="13"/>
      <c r="X32" s="13"/>
      <c r="Y32" s="13"/>
    </row>
    <row r="33" spans="1:25" s="128" customFormat="1" x14ac:dyDescent="0.2">
      <c r="A33" s="13"/>
      <c r="B33" s="13">
        <f t="shared" si="0"/>
        <v>13</v>
      </c>
      <c r="C33" s="470" t="s">
        <v>974</v>
      </c>
      <c r="D33" s="462"/>
      <c r="E33" s="463">
        <v>1</v>
      </c>
      <c r="F33" s="464"/>
      <c r="G33" s="465"/>
      <c r="H33" s="466" t="s">
        <v>408</v>
      </c>
      <c r="I33" s="467"/>
      <c r="J33" s="448" t="s">
        <v>975</v>
      </c>
      <c r="K33" s="449"/>
      <c r="L33" s="449"/>
      <c r="M33" s="449"/>
      <c r="N33" s="449"/>
      <c r="O33" s="449"/>
      <c r="P33" s="450"/>
      <c r="Q33" s="13"/>
      <c r="R33" s="13"/>
      <c r="S33" s="13"/>
      <c r="T33" s="13"/>
      <c r="U33" s="13"/>
      <c r="V33" s="13"/>
      <c r="W33" s="13"/>
      <c r="X33" s="13"/>
      <c r="Y33" s="13"/>
    </row>
    <row r="34" spans="1:25" x14ac:dyDescent="0.2">
      <c r="B34" s="13">
        <f t="shared" si="0"/>
        <v>10</v>
      </c>
      <c r="C34" s="36" t="s">
        <v>787</v>
      </c>
      <c r="D34" s="218"/>
      <c r="E34" s="270">
        <f>PS!C13</f>
        <v>0</v>
      </c>
      <c r="F34" s="271"/>
      <c r="G34" s="272"/>
      <c r="H34" s="239" t="s">
        <v>319</v>
      </c>
      <c r="I34" s="241" t="s">
        <v>394</v>
      </c>
      <c r="J34" s="509" t="s">
        <v>795</v>
      </c>
      <c r="K34" s="529"/>
      <c r="L34" s="529"/>
      <c r="M34" s="529"/>
      <c r="N34" s="529"/>
      <c r="O34" s="529"/>
      <c r="P34" s="530"/>
    </row>
    <row r="35" spans="1:25" x14ac:dyDescent="0.2">
      <c r="B35" s="13">
        <f t="shared" si="0"/>
        <v>6</v>
      </c>
      <c r="C35" s="36" t="s">
        <v>788</v>
      </c>
      <c r="D35" s="218"/>
      <c r="E35" s="270">
        <f>PS!C14</f>
        <v>0</v>
      </c>
      <c r="F35" s="38"/>
      <c r="G35" s="39"/>
      <c r="H35" s="239" t="s">
        <v>319</v>
      </c>
      <c r="I35" s="241" t="s">
        <v>394</v>
      </c>
      <c r="J35" s="509" t="s">
        <v>796</v>
      </c>
      <c r="K35" s="529"/>
      <c r="L35" s="529"/>
      <c r="M35" s="529"/>
      <c r="N35" s="529"/>
      <c r="O35" s="529"/>
      <c r="P35" s="530"/>
    </row>
    <row r="36" spans="1:25" x14ac:dyDescent="0.2">
      <c r="B36" s="13">
        <f t="shared" si="0"/>
        <v>11</v>
      </c>
      <c r="C36" s="36" t="s">
        <v>433</v>
      </c>
      <c r="D36" s="218"/>
      <c r="E36" s="270">
        <v>0.85</v>
      </c>
      <c r="F36" s="38"/>
      <c r="G36" s="39"/>
      <c r="H36" s="239" t="s">
        <v>408</v>
      </c>
      <c r="I36" s="241"/>
      <c r="J36" s="267" t="s">
        <v>436</v>
      </c>
      <c r="K36" s="267"/>
      <c r="L36" s="267"/>
      <c r="M36" s="267"/>
      <c r="N36" s="267"/>
      <c r="O36" s="267"/>
      <c r="P36" s="268"/>
    </row>
    <row r="37" spans="1:25" x14ac:dyDescent="0.2">
      <c r="B37" s="13">
        <f t="shared" si="0"/>
        <v>3</v>
      </c>
      <c r="C37" s="36" t="s">
        <v>848</v>
      </c>
      <c r="D37" s="218"/>
      <c r="E37" s="270">
        <f>PS!C15</f>
        <v>0</v>
      </c>
      <c r="F37" s="38"/>
      <c r="G37" s="39"/>
      <c r="H37" s="239" t="s">
        <v>319</v>
      </c>
      <c r="I37" s="241">
        <v>16</v>
      </c>
      <c r="J37" s="509" t="s">
        <v>756</v>
      </c>
      <c r="K37" s="529"/>
      <c r="L37" s="529"/>
      <c r="M37" s="529"/>
      <c r="N37" s="529"/>
      <c r="O37" s="529"/>
      <c r="P37" s="530"/>
    </row>
    <row r="38" spans="1:25" x14ac:dyDescent="0.2">
      <c r="B38" s="13">
        <f t="shared" si="0"/>
        <v>9</v>
      </c>
      <c r="C38" s="36" t="s">
        <v>738</v>
      </c>
      <c r="D38" s="218" t="s">
        <v>849</v>
      </c>
      <c r="E38" s="270">
        <f>E37*E41</f>
        <v>0</v>
      </c>
      <c r="F38" s="38"/>
      <c r="G38" s="39"/>
      <c r="H38" s="239" t="s">
        <v>319</v>
      </c>
      <c r="I38" s="241">
        <v>16</v>
      </c>
      <c r="J38" s="509" t="s">
        <v>757</v>
      </c>
      <c r="K38" s="529"/>
      <c r="L38" s="529"/>
      <c r="M38" s="529"/>
      <c r="N38" s="529"/>
      <c r="O38" s="529"/>
      <c r="P38" s="530"/>
    </row>
    <row r="39" spans="1:25" x14ac:dyDescent="0.2">
      <c r="B39" s="13">
        <f t="shared" ref="B39:B46" si="1">LEN(C39)</f>
        <v>15</v>
      </c>
      <c r="C39" s="36" t="s">
        <v>769</v>
      </c>
      <c r="D39" s="218"/>
      <c r="E39" s="270">
        <f>'Strip Ratio'!B8</f>
        <v>5</v>
      </c>
      <c r="F39" s="38"/>
      <c r="G39" s="39"/>
      <c r="H39" s="239" t="s">
        <v>408</v>
      </c>
      <c r="I39" s="241">
        <v>1</v>
      </c>
      <c r="J39" s="347" t="s">
        <v>768</v>
      </c>
      <c r="K39" s="347"/>
      <c r="L39" s="347"/>
      <c r="M39" s="347"/>
      <c r="N39" s="347"/>
      <c r="O39" s="347"/>
      <c r="P39" s="348"/>
    </row>
    <row r="40" spans="1:25" x14ac:dyDescent="0.2">
      <c r="B40" s="13">
        <f t="shared" si="1"/>
        <v>14</v>
      </c>
      <c r="C40" s="36" t="s">
        <v>770</v>
      </c>
      <c r="D40" s="218"/>
      <c r="E40" s="270">
        <v>4</v>
      </c>
      <c r="F40" s="38"/>
      <c r="G40" s="39"/>
      <c r="H40" s="239" t="s">
        <v>408</v>
      </c>
      <c r="I40" s="241">
        <v>1</v>
      </c>
      <c r="J40" s="347" t="s">
        <v>772</v>
      </c>
      <c r="K40" s="347"/>
      <c r="L40" s="347"/>
      <c r="M40" s="347"/>
      <c r="N40" s="347"/>
      <c r="O40" s="347"/>
      <c r="P40" s="348"/>
    </row>
    <row r="41" spans="1:25" x14ac:dyDescent="0.2">
      <c r="B41" s="13">
        <f t="shared" si="1"/>
        <v>9</v>
      </c>
      <c r="C41" s="36" t="s">
        <v>767</v>
      </c>
      <c r="D41" s="218" t="s">
        <v>884</v>
      </c>
      <c r="E41" s="270">
        <f>IF(E51=1,E40/E39,1)</f>
        <v>1</v>
      </c>
      <c r="F41" s="38"/>
      <c r="G41" s="39"/>
      <c r="H41" s="239" t="s">
        <v>408</v>
      </c>
      <c r="I41" s="241">
        <v>1</v>
      </c>
      <c r="J41" s="347" t="s">
        <v>773</v>
      </c>
      <c r="K41" s="347"/>
      <c r="L41" s="347"/>
      <c r="M41" s="347"/>
      <c r="N41" s="347"/>
      <c r="O41" s="347"/>
      <c r="P41" s="348"/>
    </row>
    <row r="42" spans="1:25" x14ac:dyDescent="0.2">
      <c r="B42" s="13">
        <f t="shared" si="1"/>
        <v>9</v>
      </c>
      <c r="C42" s="36" t="s">
        <v>777</v>
      </c>
      <c r="D42" s="218" t="s">
        <v>789</v>
      </c>
      <c r="E42" s="270">
        <f>E29*$E$41</f>
        <v>0</v>
      </c>
      <c r="F42" s="38"/>
      <c r="G42" s="39"/>
      <c r="H42" s="239" t="s">
        <v>319</v>
      </c>
      <c r="I42" s="241" t="s">
        <v>893</v>
      </c>
      <c r="J42" s="509" t="s">
        <v>393</v>
      </c>
      <c r="K42" s="529"/>
      <c r="L42" s="529"/>
      <c r="M42" s="529"/>
      <c r="N42" s="529"/>
      <c r="O42" s="529"/>
      <c r="P42" s="530"/>
    </row>
    <row r="43" spans="1:25" x14ac:dyDescent="0.2">
      <c r="B43" s="13">
        <f t="shared" si="1"/>
        <v>10</v>
      </c>
      <c r="C43" s="36" t="s">
        <v>778</v>
      </c>
      <c r="D43" s="218" t="s">
        <v>800</v>
      </c>
      <c r="E43" s="270">
        <f>E30*$E$41*E50</f>
        <v>0</v>
      </c>
      <c r="F43" s="38"/>
      <c r="G43" s="39"/>
      <c r="H43" s="239" t="s">
        <v>782</v>
      </c>
      <c r="I43" s="241" t="s">
        <v>892</v>
      </c>
      <c r="J43" s="346" t="s">
        <v>783</v>
      </c>
      <c r="K43" s="347"/>
      <c r="L43" s="347"/>
      <c r="M43" s="347"/>
      <c r="N43" s="347"/>
      <c r="O43" s="347"/>
      <c r="P43" s="348"/>
    </row>
    <row r="44" spans="1:25" s="128" customFormat="1" x14ac:dyDescent="0.2">
      <c r="A44" s="13"/>
      <c r="B44" s="13">
        <f t="shared" si="1"/>
        <v>15</v>
      </c>
      <c r="C44" s="470" t="s">
        <v>965</v>
      </c>
      <c r="D44" s="462" t="s">
        <v>977</v>
      </c>
      <c r="E44" s="463">
        <f>E31*$E$41*$E$49*$E$33</f>
        <v>0</v>
      </c>
      <c r="F44" s="468"/>
      <c r="G44" s="469"/>
      <c r="H44" s="466" t="s">
        <v>319</v>
      </c>
      <c r="I44" s="467" t="s">
        <v>842</v>
      </c>
      <c r="J44" s="509" t="s">
        <v>961</v>
      </c>
      <c r="K44" s="529"/>
      <c r="L44" s="529"/>
      <c r="M44" s="529"/>
      <c r="N44" s="529"/>
      <c r="O44" s="529"/>
      <c r="P44" s="530"/>
      <c r="Q44" s="13"/>
      <c r="R44" s="13"/>
      <c r="S44" s="13"/>
      <c r="T44" s="13"/>
      <c r="U44" s="13"/>
      <c r="V44" s="13"/>
      <c r="W44" s="13"/>
      <c r="X44" s="13"/>
      <c r="Y44" s="13"/>
    </row>
    <row r="45" spans="1:25" s="128" customFormat="1" x14ac:dyDescent="0.2">
      <c r="A45" s="13"/>
      <c r="B45" s="13">
        <f t="shared" si="1"/>
        <v>14</v>
      </c>
      <c r="C45" s="470" t="s">
        <v>968</v>
      </c>
      <c r="D45" s="462" t="s">
        <v>978</v>
      </c>
      <c r="E45" s="463">
        <f>E32*$E$41*$E$49*$E$33</f>
        <v>1.0476913829401758E-4</v>
      </c>
      <c r="F45" s="468"/>
      <c r="G45" s="469"/>
      <c r="H45" s="466" t="s">
        <v>319</v>
      </c>
      <c r="I45" s="467" t="s">
        <v>842</v>
      </c>
      <c r="J45" s="509" t="s">
        <v>962</v>
      </c>
      <c r="K45" s="529"/>
      <c r="L45" s="529"/>
      <c r="M45" s="529"/>
      <c r="N45" s="529"/>
      <c r="O45" s="529"/>
      <c r="P45" s="530"/>
      <c r="Q45" s="13"/>
      <c r="R45" s="13"/>
      <c r="S45" s="13"/>
      <c r="T45" s="13"/>
      <c r="U45" s="13"/>
      <c r="V45" s="13"/>
      <c r="W45" s="13"/>
      <c r="X45" s="13"/>
      <c r="Y45" s="13"/>
    </row>
    <row r="46" spans="1:25" s="128" customFormat="1" x14ac:dyDescent="0.2">
      <c r="A46" s="13"/>
      <c r="B46" s="13">
        <f t="shared" si="1"/>
        <v>12</v>
      </c>
      <c r="C46" s="470" t="s">
        <v>969</v>
      </c>
      <c r="D46" s="462" t="s">
        <v>979</v>
      </c>
      <c r="E46" s="463">
        <f>(E31+E32)*E41*E49*(1-E33)</f>
        <v>0</v>
      </c>
      <c r="F46" s="468"/>
      <c r="G46" s="469"/>
      <c r="H46" s="466" t="s">
        <v>319</v>
      </c>
      <c r="I46" s="467" t="s">
        <v>842</v>
      </c>
      <c r="J46" s="509" t="s">
        <v>970</v>
      </c>
      <c r="K46" s="529"/>
      <c r="L46" s="529"/>
      <c r="M46" s="529"/>
      <c r="N46" s="529"/>
      <c r="O46" s="529"/>
      <c r="P46" s="530"/>
      <c r="Q46" s="13"/>
      <c r="R46" s="13"/>
      <c r="S46" s="13"/>
      <c r="T46" s="13"/>
      <c r="U46" s="13"/>
      <c r="V46" s="13"/>
      <c r="W46" s="13"/>
      <c r="X46" s="13"/>
      <c r="Y46" s="13"/>
    </row>
    <row r="47" spans="1:25" x14ac:dyDescent="0.2">
      <c r="B47" s="13">
        <f t="shared" ref="B47:B52" si="2">LEN(C47)</f>
        <v>12</v>
      </c>
      <c r="C47" s="36" t="s">
        <v>780</v>
      </c>
      <c r="D47" s="218" t="s">
        <v>790</v>
      </c>
      <c r="E47" s="270">
        <f>E34*$E$41</f>
        <v>0</v>
      </c>
      <c r="F47" s="38"/>
      <c r="G47" s="39"/>
      <c r="H47" s="239" t="s">
        <v>319</v>
      </c>
      <c r="I47" s="241" t="s">
        <v>894</v>
      </c>
      <c r="J47" s="509" t="s">
        <v>396</v>
      </c>
      <c r="K47" s="529"/>
      <c r="L47" s="529"/>
      <c r="M47" s="529"/>
      <c r="N47" s="529"/>
      <c r="O47" s="529"/>
      <c r="P47" s="530"/>
    </row>
    <row r="48" spans="1:25" x14ac:dyDescent="0.2">
      <c r="B48" s="13">
        <f t="shared" si="2"/>
        <v>8</v>
      </c>
      <c r="C48" s="36" t="s">
        <v>781</v>
      </c>
      <c r="D48" s="218" t="s">
        <v>791</v>
      </c>
      <c r="E48" s="270">
        <f>E35*$E$41</f>
        <v>0</v>
      </c>
      <c r="F48" s="38"/>
      <c r="G48" s="39"/>
      <c r="H48" s="239" t="s">
        <v>319</v>
      </c>
      <c r="I48" s="241" t="s">
        <v>894</v>
      </c>
      <c r="J48" s="509" t="s">
        <v>395</v>
      </c>
      <c r="K48" s="529"/>
      <c r="L48" s="529"/>
      <c r="M48" s="529"/>
      <c r="N48" s="529"/>
      <c r="O48" s="529"/>
      <c r="P48" s="530"/>
    </row>
    <row r="49" spans="1:25" x14ac:dyDescent="0.2">
      <c r="B49" s="13">
        <f t="shared" si="2"/>
        <v>15</v>
      </c>
      <c r="C49" s="36" t="s">
        <v>801</v>
      </c>
      <c r="D49" s="218"/>
      <c r="E49" s="270">
        <v>1</v>
      </c>
      <c r="F49" s="38"/>
      <c r="G49" s="39"/>
      <c r="H49" s="239" t="s">
        <v>408</v>
      </c>
      <c r="I49" s="241"/>
      <c r="J49" s="347" t="s">
        <v>797</v>
      </c>
      <c r="K49" s="347"/>
      <c r="L49" s="347"/>
      <c r="M49" s="347"/>
      <c r="N49" s="347"/>
      <c r="O49" s="347"/>
      <c r="P49" s="348"/>
    </row>
    <row r="50" spans="1:25" x14ac:dyDescent="0.2">
      <c r="B50" s="13">
        <f t="shared" si="2"/>
        <v>11</v>
      </c>
      <c r="C50" s="36" t="s">
        <v>799</v>
      </c>
      <c r="D50" s="218"/>
      <c r="E50" s="270">
        <v>1</v>
      </c>
      <c r="F50" s="38"/>
      <c r="G50" s="39"/>
      <c r="H50" s="239" t="s">
        <v>408</v>
      </c>
      <c r="I50" s="241"/>
      <c r="J50" s="347" t="s">
        <v>798</v>
      </c>
      <c r="K50" s="347"/>
      <c r="L50" s="347"/>
      <c r="M50" s="347"/>
      <c r="N50" s="347"/>
      <c r="O50" s="347"/>
      <c r="P50" s="348"/>
    </row>
    <row r="51" spans="1:25" x14ac:dyDescent="0.2">
      <c r="B51" s="13">
        <f t="shared" si="2"/>
        <v>9</v>
      </c>
      <c r="C51" s="36" t="s">
        <v>855</v>
      </c>
      <c r="D51" s="218"/>
      <c r="E51" s="270">
        <f>PS!C17</f>
        <v>0</v>
      </c>
      <c r="F51" s="38"/>
      <c r="G51" s="39"/>
      <c r="H51" s="239" t="s">
        <v>408</v>
      </c>
      <c r="I51" s="241"/>
      <c r="J51" s="362" t="s">
        <v>868</v>
      </c>
      <c r="K51" s="362"/>
      <c r="L51" s="362"/>
      <c r="M51" s="362"/>
      <c r="N51" s="362"/>
      <c r="O51" s="362"/>
      <c r="P51" s="363"/>
    </row>
    <row r="52" spans="1:25" x14ac:dyDescent="0.2">
      <c r="B52" s="13">
        <f t="shared" si="2"/>
        <v>10</v>
      </c>
      <c r="C52" s="36" t="s">
        <v>870</v>
      </c>
      <c r="D52" s="218"/>
      <c r="E52" s="270">
        <f>PS!C16</f>
        <v>0</v>
      </c>
      <c r="F52" s="38"/>
      <c r="G52" s="39"/>
      <c r="H52" s="239" t="s">
        <v>408</v>
      </c>
      <c r="I52" s="241"/>
      <c r="J52" s="404" t="s">
        <v>873</v>
      </c>
      <c r="K52" s="404"/>
      <c r="L52" s="404"/>
      <c r="M52" s="404"/>
      <c r="N52" s="404"/>
      <c r="O52" s="404"/>
      <c r="P52" s="405"/>
    </row>
    <row r="53" spans="1:25" x14ac:dyDescent="0.2">
      <c r="B53" s="8"/>
      <c r="C53" s="41" t="s">
        <v>78</v>
      </c>
      <c r="D53" s="42" t="s">
        <v>79</v>
      </c>
      <c r="E53" s="43"/>
      <c r="F53" s="43"/>
      <c r="G53" s="43"/>
      <c r="H53" s="44"/>
      <c r="I53" s="45"/>
      <c r="J53" s="46"/>
      <c r="K53" s="46"/>
      <c r="L53" s="46"/>
      <c r="M53" s="46"/>
      <c r="N53" s="46"/>
      <c r="O53" s="46"/>
      <c r="P53" s="47"/>
    </row>
    <row r="54" spans="1:25" ht="13.5" thickBot="1" x14ac:dyDescent="0.25">
      <c r="B54" s="8"/>
      <c r="C54" s="2"/>
      <c r="D54" s="2"/>
      <c r="E54" s="2"/>
      <c r="F54" s="2"/>
      <c r="G54" s="2"/>
      <c r="H54" s="2"/>
      <c r="J54" s="2"/>
      <c r="K54" s="2"/>
      <c r="L54" s="2"/>
      <c r="M54" s="2"/>
      <c r="N54" s="2"/>
      <c r="O54" s="2"/>
      <c r="P54" s="2"/>
    </row>
    <row r="55" spans="1:25" s="24" customFormat="1" ht="13.5" thickBot="1" x14ac:dyDescent="0.25">
      <c r="A55" s="23"/>
      <c r="B55" s="504" t="s">
        <v>80</v>
      </c>
      <c r="C55" s="505"/>
      <c r="D55" s="505"/>
      <c r="E55" s="505"/>
      <c r="F55" s="505"/>
      <c r="G55" s="505"/>
      <c r="H55" s="505"/>
      <c r="I55" s="505"/>
      <c r="J55" s="505"/>
      <c r="K55" s="505"/>
      <c r="L55" s="505"/>
      <c r="M55" s="505"/>
      <c r="N55" s="505"/>
      <c r="O55" s="505"/>
      <c r="P55" s="506"/>
      <c r="Q55" s="23"/>
      <c r="R55" s="23"/>
      <c r="S55" s="23"/>
      <c r="T55" s="23"/>
      <c r="U55" s="23"/>
      <c r="V55" s="23"/>
      <c r="W55" s="23"/>
      <c r="X55" s="23"/>
      <c r="Y55" s="23"/>
    </row>
    <row r="56" spans="1:25" x14ac:dyDescent="0.2">
      <c r="B56" s="8"/>
      <c r="C56" s="2"/>
      <c r="D56" s="2"/>
      <c r="E56" s="2"/>
      <c r="F56" s="2"/>
      <c r="G56" s="2"/>
      <c r="H56" s="34" t="s">
        <v>81</v>
      </c>
      <c r="J56" s="2"/>
      <c r="K56" s="2"/>
      <c r="L56" s="2"/>
      <c r="M56" s="2"/>
      <c r="N56" s="2"/>
      <c r="O56" s="2"/>
      <c r="P56" s="2"/>
    </row>
    <row r="57" spans="1:25" x14ac:dyDescent="0.2">
      <c r="B57" s="8"/>
      <c r="C57" s="35" t="s">
        <v>19</v>
      </c>
      <c r="D57" s="35" t="s">
        <v>82</v>
      </c>
      <c r="E57" s="35" t="s">
        <v>0</v>
      </c>
      <c r="F57" s="35" t="s">
        <v>83</v>
      </c>
      <c r="G57" s="35" t="s">
        <v>19</v>
      </c>
      <c r="H57" s="35" t="s">
        <v>24</v>
      </c>
      <c r="I57" s="35" t="s">
        <v>84</v>
      </c>
      <c r="J57" s="35" t="s">
        <v>85</v>
      </c>
      <c r="K57" s="35" t="s">
        <v>86</v>
      </c>
      <c r="L57" s="35" t="s">
        <v>25</v>
      </c>
      <c r="M57" s="35" t="s">
        <v>76</v>
      </c>
      <c r="N57" s="503" t="s">
        <v>77</v>
      </c>
      <c r="O57" s="503"/>
      <c r="P57" s="503"/>
      <c r="X57" s="23"/>
      <c r="Y57" s="23"/>
    </row>
    <row r="58" spans="1:25" ht="24.75" customHeight="1" x14ac:dyDescent="0.2">
      <c r="B58" s="8"/>
      <c r="C58" s="48" t="s">
        <v>781</v>
      </c>
      <c r="D58" s="216" t="s">
        <v>417</v>
      </c>
      <c r="E58" s="249">
        <v>1</v>
      </c>
      <c r="F58" s="59" t="s">
        <v>319</v>
      </c>
      <c r="G58" s="50">
        <f t="shared" ref="G58:G67" si="3">IF($C58="",1,VLOOKUP($C58,$C$22:$H$53,3,FALSE))</f>
        <v>0</v>
      </c>
      <c r="H58" s="51" t="str">
        <f t="shared" ref="H58:H65" si="4">IF($C58="","",VLOOKUP($C58,$C$22:$H$53,6,FALSE))</f>
        <v>kg/kg</v>
      </c>
      <c r="I58" s="50">
        <f t="shared" ref="I58:I67" si="5">IF(D58="","",E58*G58*$D$5)</f>
        <v>0</v>
      </c>
      <c r="J58" s="59" t="s">
        <v>319</v>
      </c>
      <c r="K58" s="52" t="s">
        <v>95</v>
      </c>
      <c r="L58" s="49" t="s">
        <v>97</v>
      </c>
      <c r="M58" s="241" t="str">
        <f>I48</f>
        <v>1,2,3</v>
      </c>
      <c r="N58" s="498" t="s">
        <v>413</v>
      </c>
      <c r="O58" s="499"/>
      <c r="P58" s="500"/>
      <c r="X58" s="23"/>
      <c r="Y58" s="23"/>
    </row>
    <row r="59" spans="1:25" ht="26.25" customHeight="1" x14ac:dyDescent="0.2">
      <c r="B59" s="8"/>
      <c r="C59" s="250" t="s">
        <v>780</v>
      </c>
      <c r="D59" s="216" t="s">
        <v>418</v>
      </c>
      <c r="E59" s="249">
        <v>1</v>
      </c>
      <c r="F59" s="59" t="s">
        <v>319</v>
      </c>
      <c r="G59" s="50">
        <f t="shared" si="3"/>
        <v>0</v>
      </c>
      <c r="H59" s="51" t="str">
        <f t="shared" si="4"/>
        <v>kg/kg</v>
      </c>
      <c r="I59" s="50">
        <f t="shared" si="5"/>
        <v>0</v>
      </c>
      <c r="J59" s="59" t="s">
        <v>319</v>
      </c>
      <c r="K59" s="52" t="s">
        <v>95</v>
      </c>
      <c r="L59" s="49" t="s">
        <v>97</v>
      </c>
      <c r="M59" s="241" t="str">
        <f>I47</f>
        <v>1,2,3</v>
      </c>
      <c r="N59" s="498" t="s">
        <v>414</v>
      </c>
      <c r="O59" s="499"/>
      <c r="P59" s="500"/>
      <c r="X59" s="23"/>
      <c r="Y59" s="23"/>
    </row>
    <row r="60" spans="1:25" x14ac:dyDescent="0.2">
      <c r="B60" s="8"/>
      <c r="C60" s="250" t="s">
        <v>778</v>
      </c>
      <c r="D60" s="216" t="s">
        <v>694</v>
      </c>
      <c r="E60" s="249">
        <v>1</v>
      </c>
      <c r="F60" s="59" t="s">
        <v>319</v>
      </c>
      <c r="G60" s="50">
        <f t="shared" si="3"/>
        <v>0</v>
      </c>
      <c r="H60" s="51" t="str">
        <f t="shared" si="4"/>
        <v>MWh/kg</v>
      </c>
      <c r="I60" s="50">
        <f t="shared" ref="I60" si="6">IF(D60="","",E60*G60*$D$5)</f>
        <v>0</v>
      </c>
      <c r="J60" s="59" t="s">
        <v>319</v>
      </c>
      <c r="K60" s="52" t="s">
        <v>95</v>
      </c>
      <c r="L60" s="49" t="s">
        <v>97</v>
      </c>
      <c r="M60" s="241" t="str">
        <f>I43</f>
        <v>1,18,20</v>
      </c>
      <c r="N60" s="303" t="s">
        <v>693</v>
      </c>
      <c r="O60" s="306"/>
      <c r="P60" s="307"/>
      <c r="X60" s="23"/>
      <c r="Y60" s="23"/>
    </row>
    <row r="61" spans="1:25" s="128" customFormat="1" ht="25.5" customHeight="1" x14ac:dyDescent="0.2">
      <c r="A61" s="13"/>
      <c r="B61" s="8"/>
      <c r="C61" s="250" t="s">
        <v>965</v>
      </c>
      <c r="D61" s="471" t="s">
        <v>980</v>
      </c>
      <c r="E61" s="472">
        <v>1</v>
      </c>
      <c r="F61" s="473" t="s">
        <v>319</v>
      </c>
      <c r="G61" s="474">
        <f t="shared" si="3"/>
        <v>0</v>
      </c>
      <c r="H61" s="475" t="str">
        <f t="shared" si="4"/>
        <v>kg/kg</v>
      </c>
      <c r="I61" s="474">
        <f t="shared" si="5"/>
        <v>0</v>
      </c>
      <c r="J61" s="473" t="s">
        <v>319</v>
      </c>
      <c r="K61" s="476" t="s">
        <v>95</v>
      </c>
      <c r="L61" s="250" t="s">
        <v>97</v>
      </c>
      <c r="M61" s="467" t="str">
        <f>I44</f>
        <v>1,18</v>
      </c>
      <c r="N61" s="498" t="s">
        <v>963</v>
      </c>
      <c r="O61" s="499"/>
      <c r="P61" s="500"/>
      <c r="Q61" s="13"/>
      <c r="R61" s="13"/>
      <c r="S61" s="13"/>
      <c r="T61" s="13"/>
      <c r="U61" s="13"/>
      <c r="V61" s="13"/>
      <c r="W61" s="13"/>
      <c r="X61" s="13"/>
      <c r="Y61" s="13"/>
    </row>
    <row r="62" spans="1:25" s="128" customFormat="1" ht="25.5" customHeight="1" x14ac:dyDescent="0.2">
      <c r="A62" s="13"/>
      <c r="B62" s="8"/>
      <c r="C62" s="250" t="s">
        <v>968</v>
      </c>
      <c r="D62" s="471" t="s">
        <v>981</v>
      </c>
      <c r="E62" s="472">
        <v>1</v>
      </c>
      <c r="F62" s="473" t="s">
        <v>319</v>
      </c>
      <c r="G62" s="474">
        <f t="shared" si="3"/>
        <v>1.0476913829401758E-4</v>
      </c>
      <c r="H62" s="475" t="str">
        <f t="shared" si="4"/>
        <v>kg/kg</v>
      </c>
      <c r="I62" s="474">
        <f t="shared" si="5"/>
        <v>1.0476913829401758E-4</v>
      </c>
      <c r="J62" s="473" t="s">
        <v>319</v>
      </c>
      <c r="K62" s="476" t="s">
        <v>95</v>
      </c>
      <c r="L62" s="250" t="s">
        <v>97</v>
      </c>
      <c r="M62" s="467" t="str">
        <f>I45</f>
        <v>1,18</v>
      </c>
      <c r="N62" s="498" t="s">
        <v>964</v>
      </c>
      <c r="O62" s="499"/>
      <c r="P62" s="500"/>
      <c r="Q62" s="13"/>
      <c r="R62" s="13"/>
      <c r="S62" s="13"/>
      <c r="T62" s="13"/>
      <c r="U62" s="13"/>
      <c r="V62" s="13"/>
      <c r="W62" s="13"/>
      <c r="X62" s="13"/>
      <c r="Y62" s="13"/>
    </row>
    <row r="63" spans="1:25" s="128" customFormat="1" ht="25.5" customHeight="1" x14ac:dyDescent="0.2">
      <c r="A63" s="13"/>
      <c r="B63" s="8"/>
      <c r="C63" s="250" t="s">
        <v>969</v>
      </c>
      <c r="D63" s="471" t="s">
        <v>976</v>
      </c>
      <c r="E63" s="472">
        <v>1</v>
      </c>
      <c r="F63" s="473" t="s">
        <v>319</v>
      </c>
      <c r="G63" s="474">
        <f t="shared" si="3"/>
        <v>0</v>
      </c>
      <c r="H63" s="475" t="str">
        <f t="shared" si="4"/>
        <v>kg/kg</v>
      </c>
      <c r="I63" s="474">
        <f t="shared" si="5"/>
        <v>0</v>
      </c>
      <c r="J63" s="473" t="s">
        <v>319</v>
      </c>
      <c r="K63" s="476" t="s">
        <v>95</v>
      </c>
      <c r="L63" s="250" t="s">
        <v>97</v>
      </c>
      <c r="M63" s="467" t="str">
        <f>I46</f>
        <v>1,18</v>
      </c>
      <c r="N63" s="498" t="s">
        <v>971</v>
      </c>
      <c r="O63" s="499"/>
      <c r="P63" s="500"/>
      <c r="Q63" s="13"/>
      <c r="R63" s="13"/>
      <c r="S63" s="13"/>
      <c r="T63" s="13"/>
      <c r="U63" s="13"/>
      <c r="V63" s="13"/>
      <c r="W63" s="13"/>
      <c r="X63" s="13"/>
      <c r="Y63" s="13"/>
    </row>
    <row r="64" spans="1:25" x14ac:dyDescent="0.2">
      <c r="B64" s="8"/>
      <c r="C64" s="250"/>
      <c r="D64" s="216" t="s">
        <v>442</v>
      </c>
      <c r="E64" s="249">
        <v>1</v>
      </c>
      <c r="F64" s="59" t="s">
        <v>57</v>
      </c>
      <c r="G64" s="50">
        <f t="shared" si="3"/>
        <v>1</v>
      </c>
      <c r="H64" s="51" t="str">
        <f t="shared" si="4"/>
        <v/>
      </c>
      <c r="I64" s="273">
        <f t="shared" si="5"/>
        <v>1</v>
      </c>
      <c r="J64" s="59" t="s">
        <v>57</v>
      </c>
      <c r="K64" s="52"/>
      <c r="L64" s="49" t="s">
        <v>13</v>
      </c>
      <c r="M64" s="240"/>
      <c r="N64" s="498" t="s">
        <v>439</v>
      </c>
      <c r="O64" s="499"/>
      <c r="P64" s="500"/>
      <c r="X64" s="23"/>
      <c r="Y64" s="23"/>
    </row>
    <row r="65" spans="1:25" x14ac:dyDescent="0.2">
      <c r="B65" s="8"/>
      <c r="C65" s="36" t="s">
        <v>870</v>
      </c>
      <c r="D65" s="216" t="s">
        <v>440</v>
      </c>
      <c r="E65" s="249">
        <v>1</v>
      </c>
      <c r="F65" s="59" t="s">
        <v>57</v>
      </c>
      <c r="G65" s="50">
        <f t="shared" si="3"/>
        <v>0</v>
      </c>
      <c r="H65" s="51" t="str">
        <f t="shared" si="4"/>
        <v>dimensionless</v>
      </c>
      <c r="I65" s="50">
        <f>IF(D65="","",E65*G65*$D$5)</f>
        <v>0</v>
      </c>
      <c r="J65" s="59" t="s">
        <v>57</v>
      </c>
      <c r="K65" s="52" t="s">
        <v>95</v>
      </c>
      <c r="L65" s="49" t="s">
        <v>97</v>
      </c>
      <c r="M65" s="240"/>
      <c r="N65" s="498" t="s">
        <v>441</v>
      </c>
      <c r="O65" s="499"/>
      <c r="P65" s="500"/>
      <c r="X65" s="23"/>
      <c r="Y65" s="23"/>
    </row>
    <row r="66" spans="1:25" x14ac:dyDescent="0.2">
      <c r="B66" s="8"/>
      <c r="C66" s="250"/>
      <c r="D66" s="216" t="s">
        <v>444</v>
      </c>
      <c r="E66" s="249">
        <v>1</v>
      </c>
      <c r="F66" s="59" t="s">
        <v>445</v>
      </c>
      <c r="G66" s="50">
        <f t="shared" si="3"/>
        <v>1</v>
      </c>
      <c r="H66" s="51"/>
      <c r="I66" s="50">
        <f t="shared" si="5"/>
        <v>1</v>
      </c>
      <c r="J66" s="59" t="s">
        <v>445</v>
      </c>
      <c r="K66" s="52" t="s">
        <v>95</v>
      </c>
      <c r="L66" s="49" t="s">
        <v>13</v>
      </c>
      <c r="M66" s="240"/>
      <c r="N66" s="498" t="s">
        <v>447</v>
      </c>
      <c r="O66" s="499"/>
      <c r="P66" s="500"/>
      <c r="X66" s="23"/>
      <c r="Y66" s="23"/>
    </row>
    <row r="67" spans="1:25" x14ac:dyDescent="0.2">
      <c r="B67" s="8"/>
      <c r="C67" s="250"/>
      <c r="D67" s="216" t="s">
        <v>446</v>
      </c>
      <c r="E67" s="249">
        <v>1</v>
      </c>
      <c r="F67" s="59" t="s">
        <v>445</v>
      </c>
      <c r="G67" s="50">
        <f t="shared" si="3"/>
        <v>1</v>
      </c>
      <c r="H67" s="51"/>
      <c r="I67" s="50">
        <f t="shared" si="5"/>
        <v>1</v>
      </c>
      <c r="J67" s="59" t="s">
        <v>445</v>
      </c>
      <c r="K67" s="52" t="s">
        <v>95</v>
      </c>
      <c r="L67" s="49" t="s">
        <v>13</v>
      </c>
      <c r="M67" s="240"/>
      <c r="N67" s="498" t="s">
        <v>448</v>
      </c>
      <c r="O67" s="499"/>
      <c r="P67" s="500"/>
      <c r="X67" s="23"/>
      <c r="Y67" s="23"/>
    </row>
    <row r="68" spans="1:25" x14ac:dyDescent="0.2">
      <c r="B68" s="8"/>
      <c r="C68" s="54" t="s">
        <v>78</v>
      </c>
      <c r="D68" s="42" t="s">
        <v>79</v>
      </c>
      <c r="E68" s="55" t="s">
        <v>23</v>
      </c>
      <c r="F68" s="42"/>
      <c r="G68" s="42"/>
      <c r="H68" s="42"/>
      <c r="I68" s="55" t="s">
        <v>22</v>
      </c>
      <c r="J68" s="42"/>
      <c r="K68" s="55"/>
      <c r="L68" s="42" t="s">
        <v>87</v>
      </c>
      <c r="M68" s="56"/>
      <c r="N68" s="501"/>
      <c r="O68" s="501"/>
      <c r="P68" s="501"/>
      <c r="X68" s="23"/>
      <c r="Y68" s="23"/>
    </row>
    <row r="69" spans="1:25" s="2" customFormat="1" ht="13.5" thickBot="1" x14ac:dyDescent="0.25">
      <c r="B69" s="8"/>
      <c r="X69" s="23"/>
      <c r="Y69" s="23"/>
    </row>
    <row r="70" spans="1:25" s="24" customFormat="1" ht="13.5" thickBot="1" x14ac:dyDescent="0.25">
      <c r="A70" s="23"/>
      <c r="B70" s="504" t="s">
        <v>88</v>
      </c>
      <c r="C70" s="505"/>
      <c r="D70" s="505"/>
      <c r="E70" s="505"/>
      <c r="F70" s="505"/>
      <c r="G70" s="505"/>
      <c r="H70" s="505"/>
      <c r="I70" s="505"/>
      <c r="J70" s="505"/>
      <c r="K70" s="505"/>
      <c r="L70" s="505"/>
      <c r="M70" s="505"/>
      <c r="N70" s="505"/>
      <c r="O70" s="505"/>
      <c r="P70" s="506"/>
      <c r="Q70" s="23"/>
      <c r="R70" s="23"/>
      <c r="S70" s="23"/>
      <c r="T70" s="23"/>
      <c r="U70" s="23"/>
      <c r="V70" s="23"/>
      <c r="W70" s="23"/>
      <c r="X70" s="23"/>
      <c r="Y70" s="23"/>
    </row>
    <row r="71" spans="1:25" x14ac:dyDescent="0.2">
      <c r="B71" s="8"/>
      <c r="C71" s="2"/>
      <c r="D71" s="2"/>
      <c r="E71" s="2"/>
      <c r="F71" s="2"/>
      <c r="G71" s="2"/>
      <c r="H71" s="34" t="s">
        <v>89</v>
      </c>
      <c r="J71" s="2"/>
      <c r="K71" s="2"/>
      <c r="L71" s="2"/>
      <c r="M71" s="2"/>
      <c r="N71" s="2"/>
      <c r="O71" s="2"/>
      <c r="P71" s="2"/>
      <c r="X71" s="23"/>
      <c r="Y71" s="23"/>
    </row>
    <row r="72" spans="1:25" x14ac:dyDescent="0.2">
      <c r="B72" s="8"/>
      <c r="C72" s="35" t="s">
        <v>19</v>
      </c>
      <c r="D72" s="35" t="s">
        <v>82</v>
      </c>
      <c r="E72" s="35" t="s">
        <v>0</v>
      </c>
      <c r="F72" s="35" t="s">
        <v>83</v>
      </c>
      <c r="G72" s="35" t="s">
        <v>19</v>
      </c>
      <c r="H72" s="35" t="s">
        <v>24</v>
      </c>
      <c r="I72" s="35" t="s">
        <v>84</v>
      </c>
      <c r="J72" s="35" t="s">
        <v>85</v>
      </c>
      <c r="K72" s="35" t="s">
        <v>86</v>
      </c>
      <c r="L72" s="35" t="s">
        <v>25</v>
      </c>
      <c r="M72" s="35" t="s">
        <v>76</v>
      </c>
      <c r="N72" s="503" t="s">
        <v>77</v>
      </c>
      <c r="O72" s="503"/>
      <c r="P72" s="503"/>
      <c r="X72" s="23"/>
      <c r="Y72" s="23"/>
    </row>
    <row r="73" spans="1:25" x14ac:dyDescent="0.2">
      <c r="B73" s="8"/>
      <c r="C73" s="57"/>
      <c r="D73" s="58" t="s">
        <v>443</v>
      </c>
      <c r="E73" s="59">
        <v>1</v>
      </c>
      <c r="F73" s="59" t="s">
        <v>57</v>
      </c>
      <c r="G73" s="50">
        <f>IF($C73="",1,VLOOKUP($C73,$C$22:$H$53,3,FALSE))</f>
        <v>1</v>
      </c>
      <c r="H73" s="51" t="str">
        <f>IF($C73="","",VLOOKUP($C73,$C$22:$H$53,6,FALSE))</f>
        <v/>
      </c>
      <c r="I73" s="274">
        <f>IF(D73="","",E73*G73*$D$5)</f>
        <v>1</v>
      </c>
      <c r="J73" s="59" t="s">
        <v>57</v>
      </c>
      <c r="K73" s="52" t="s">
        <v>95</v>
      </c>
      <c r="L73" s="49" t="s">
        <v>13</v>
      </c>
      <c r="M73" s="240"/>
      <c r="N73" s="502" t="s">
        <v>90</v>
      </c>
      <c r="O73" s="502"/>
      <c r="P73" s="502"/>
      <c r="X73" s="23"/>
      <c r="Y73" s="23"/>
    </row>
    <row r="74" spans="1:25" x14ac:dyDescent="0.2">
      <c r="B74" s="8"/>
      <c r="C74" s="36" t="s">
        <v>427</v>
      </c>
      <c r="D74" s="58" t="s">
        <v>419</v>
      </c>
      <c r="E74" s="59">
        <v>1</v>
      </c>
      <c r="F74" s="246" t="s">
        <v>319</v>
      </c>
      <c r="G74" s="50">
        <f>IF($C74="",1,VLOOKUP($C74,$C$22:$H$53,3,FALSE))</f>
        <v>1.4549617476655388E-7</v>
      </c>
      <c r="H74" s="51" t="str">
        <f>IF($C74="","",VLOOKUP($C74,$C$22:$H$53,6,FALSE))</f>
        <v>kg/kg</v>
      </c>
      <c r="I74" s="269">
        <f t="shared" ref="I74:I77" si="7">IF(D74="","",E74*G74*$D$5)</f>
        <v>1.4549617476655388E-7</v>
      </c>
      <c r="J74" s="59" t="s">
        <v>319</v>
      </c>
      <c r="K74" s="235"/>
      <c r="L74" s="247" t="s">
        <v>97</v>
      </c>
      <c r="M74" s="240" t="str">
        <f>I25</f>
        <v>7,10,13,18</v>
      </c>
      <c r="N74" s="251" t="s">
        <v>296</v>
      </c>
      <c r="O74" s="252"/>
      <c r="P74" s="253"/>
      <c r="X74" s="23"/>
      <c r="Y74" s="23"/>
    </row>
    <row r="75" spans="1:25" x14ac:dyDescent="0.2">
      <c r="B75" s="8"/>
      <c r="C75" s="36" t="s">
        <v>911</v>
      </c>
      <c r="D75" s="58" t="s">
        <v>910</v>
      </c>
      <c r="E75" s="59">
        <v>1</v>
      </c>
      <c r="F75" s="246" t="s">
        <v>319</v>
      </c>
      <c r="G75" s="50">
        <f>IF($C75="",1,VLOOKUP($C75,$C$22:$H$53,3,FALSE))</f>
        <v>8.9502525035586333E-7</v>
      </c>
      <c r="H75" s="51" t="str">
        <f>IF($C75="","",VLOOKUP($C75,$C$22:$H$53,6,FALSE))</f>
        <v>kg/kg</v>
      </c>
      <c r="I75" s="269">
        <f t="shared" si="7"/>
        <v>8.9502525035586333E-7</v>
      </c>
      <c r="J75" s="59" t="s">
        <v>319</v>
      </c>
      <c r="K75" s="433"/>
      <c r="L75" s="247" t="s">
        <v>97</v>
      </c>
      <c r="M75" s="240" t="str">
        <f>I28</f>
        <v>7,8,9,10,13,18</v>
      </c>
      <c r="N75" s="251" t="s">
        <v>296</v>
      </c>
      <c r="O75" s="252"/>
      <c r="P75" s="253"/>
      <c r="X75" s="23"/>
      <c r="Y75" s="23"/>
    </row>
    <row r="76" spans="1:25" x14ac:dyDescent="0.2">
      <c r="B76" s="8"/>
      <c r="C76" s="57" t="s">
        <v>777</v>
      </c>
      <c r="D76" s="217" t="s">
        <v>405</v>
      </c>
      <c r="E76" s="59">
        <v>1</v>
      </c>
      <c r="F76" s="59" t="s">
        <v>319</v>
      </c>
      <c r="G76" s="50">
        <f>IF($C76="",1,VLOOKUP($C76,$C$22:$H$53,3,FALSE))</f>
        <v>0</v>
      </c>
      <c r="H76" s="51" t="str">
        <f>IF($C76="","",VLOOKUP($C76,$C$22:$H$53,6,FALSE))</f>
        <v>kg/kg</v>
      </c>
      <c r="I76" s="269">
        <f t="shared" si="7"/>
        <v>0</v>
      </c>
      <c r="J76" s="59" t="s">
        <v>319</v>
      </c>
      <c r="K76" s="52"/>
      <c r="L76" s="49" t="s">
        <v>97</v>
      </c>
      <c r="M76" s="241" t="str">
        <f>I42</f>
        <v>1,5</v>
      </c>
      <c r="N76" s="502" t="s">
        <v>296</v>
      </c>
      <c r="O76" s="502"/>
      <c r="P76" s="502"/>
      <c r="X76" s="23"/>
      <c r="Y76" s="23"/>
    </row>
    <row r="77" spans="1:25" x14ac:dyDescent="0.2">
      <c r="B77" s="8"/>
      <c r="C77" s="57" t="s">
        <v>738</v>
      </c>
      <c r="D77" s="217" t="s">
        <v>758</v>
      </c>
      <c r="E77" s="59">
        <v>1</v>
      </c>
      <c r="F77" s="59" t="s">
        <v>319</v>
      </c>
      <c r="G77" s="50">
        <f>IF($C77="",1,VLOOKUP($C77,$C$22:$H$53,3,FALSE))</f>
        <v>0</v>
      </c>
      <c r="H77" s="51" t="str">
        <f>IF($C77="","",VLOOKUP($C77,$C$22:$H$53,6,FALSE))</f>
        <v>kg/kg</v>
      </c>
      <c r="I77" s="269">
        <f t="shared" si="7"/>
        <v>0</v>
      </c>
      <c r="J77" s="59" t="s">
        <v>319</v>
      </c>
      <c r="K77" s="52"/>
      <c r="L77" s="49" t="s">
        <v>97</v>
      </c>
      <c r="M77" s="241">
        <f>I38</f>
        <v>16</v>
      </c>
      <c r="N77" s="502" t="s">
        <v>296</v>
      </c>
      <c r="O77" s="502"/>
      <c r="P77" s="502"/>
      <c r="X77" s="23"/>
      <c r="Y77" s="23"/>
    </row>
    <row r="78" spans="1:25" x14ac:dyDescent="0.2">
      <c r="B78" s="8"/>
      <c r="C78" s="54" t="s">
        <v>78</v>
      </c>
      <c r="D78" s="60" t="s">
        <v>79</v>
      </c>
      <c r="E78" s="55" t="s">
        <v>23</v>
      </c>
      <c r="F78" s="42"/>
      <c r="G78" s="61"/>
      <c r="H78" s="62"/>
      <c r="I78" s="62"/>
      <c r="J78" s="42"/>
      <c r="K78" s="55"/>
      <c r="L78" s="42" t="s">
        <v>87</v>
      </c>
      <c r="M78" s="56"/>
      <c r="N78" s="501"/>
      <c r="O78" s="501"/>
      <c r="P78" s="501"/>
      <c r="X78" s="23"/>
      <c r="Y78" s="23"/>
    </row>
    <row r="79" spans="1:25" x14ac:dyDescent="0.2">
      <c r="B79" s="8"/>
      <c r="C79" s="2"/>
      <c r="D79" s="2"/>
      <c r="E79" s="2"/>
      <c r="F79" s="2"/>
      <c r="G79" s="2"/>
      <c r="H79" s="2"/>
      <c r="J79" s="2"/>
      <c r="K79" s="2"/>
      <c r="L79" s="2"/>
      <c r="M79" s="2"/>
      <c r="N79" s="2"/>
      <c r="O79" s="2"/>
      <c r="P79" s="2"/>
      <c r="X79" s="23"/>
      <c r="Y79" s="23"/>
    </row>
    <row r="80" spans="1:25" x14ac:dyDescent="0.2">
      <c r="B80" s="8"/>
      <c r="C80" s="2"/>
      <c r="D80" s="2"/>
      <c r="E80" s="2"/>
      <c r="F80" s="2"/>
      <c r="G80" s="2"/>
      <c r="H80" s="2"/>
      <c r="J80" s="2"/>
      <c r="K80" s="2"/>
      <c r="L80" s="2"/>
      <c r="M80" s="2"/>
      <c r="N80" s="2"/>
      <c r="O80" s="2"/>
      <c r="P80" s="2"/>
    </row>
    <row r="81" spans="2:16" x14ac:dyDescent="0.2">
      <c r="B81" s="8"/>
      <c r="C81" s="2"/>
      <c r="D81" s="2"/>
      <c r="E81" s="2"/>
      <c r="F81" s="2"/>
      <c r="G81" s="2"/>
      <c r="H81" s="2"/>
      <c r="J81" s="2"/>
      <c r="K81" s="2"/>
      <c r="L81" s="2"/>
      <c r="M81" s="2"/>
      <c r="N81" s="2"/>
      <c r="O81" s="2"/>
      <c r="P81" s="2"/>
    </row>
    <row r="82" spans="2:16" x14ac:dyDescent="0.2">
      <c r="B82" s="8"/>
      <c r="C82" s="2"/>
      <c r="D82" s="2"/>
      <c r="E82" s="2"/>
      <c r="F82" s="2"/>
      <c r="G82" s="2"/>
      <c r="H82" s="2"/>
      <c r="J82" s="2"/>
      <c r="K82" s="2"/>
      <c r="L82" s="2"/>
      <c r="M82" s="2"/>
      <c r="N82" s="2"/>
      <c r="O82" s="2"/>
      <c r="P82" s="2"/>
    </row>
    <row r="83" spans="2:16" x14ac:dyDescent="0.2">
      <c r="B83" s="8"/>
      <c r="C83" s="2"/>
      <c r="D83" s="2"/>
      <c r="E83" s="2"/>
      <c r="F83" s="2"/>
      <c r="G83" s="2"/>
      <c r="H83" s="2"/>
      <c r="J83" s="2"/>
      <c r="K83" s="2"/>
      <c r="L83" s="2"/>
      <c r="M83" s="2"/>
      <c r="N83" s="2"/>
      <c r="O83" s="2"/>
      <c r="P83" s="2"/>
    </row>
    <row r="84" spans="2:16" x14ac:dyDescent="0.2">
      <c r="B84" s="8"/>
      <c r="C84" s="2"/>
      <c r="D84" s="2"/>
      <c r="E84" s="2"/>
      <c r="F84" s="2"/>
      <c r="G84" s="2"/>
      <c r="H84" s="2"/>
      <c r="J84" s="2"/>
      <c r="K84" s="2"/>
      <c r="L84" s="2"/>
      <c r="M84" s="2"/>
      <c r="N84" s="2"/>
      <c r="O84" s="2"/>
      <c r="P84" s="2"/>
    </row>
    <row r="85" spans="2:16" x14ac:dyDescent="0.2">
      <c r="B85" s="8"/>
      <c r="C85" s="2"/>
      <c r="D85" s="2"/>
      <c r="E85" s="2"/>
      <c r="F85" s="2"/>
      <c r="G85" s="2"/>
      <c r="H85" s="2"/>
      <c r="J85" s="2"/>
      <c r="K85" s="2"/>
      <c r="L85" s="2"/>
      <c r="M85" s="2"/>
      <c r="N85" s="2"/>
      <c r="O85" s="2"/>
      <c r="P85" s="2"/>
    </row>
    <row r="86" spans="2:16" x14ac:dyDescent="0.2">
      <c r="B86" s="8"/>
      <c r="C86" s="2"/>
      <c r="D86" s="2"/>
      <c r="E86" s="2"/>
      <c r="F86" s="2"/>
      <c r="G86" s="2"/>
      <c r="H86" s="2"/>
      <c r="J86" s="2"/>
      <c r="K86" s="2"/>
      <c r="L86" s="2"/>
      <c r="M86" s="2"/>
      <c r="N86" s="2"/>
      <c r="O86" s="2"/>
      <c r="P86" s="2"/>
    </row>
    <row r="87" spans="2:16" x14ac:dyDescent="0.2">
      <c r="B87" s="8"/>
      <c r="C87" s="2"/>
      <c r="D87" s="2"/>
      <c r="E87" s="2"/>
      <c r="F87" s="2"/>
      <c r="G87" s="2"/>
      <c r="H87" s="2"/>
      <c r="J87" s="2"/>
      <c r="K87" s="2"/>
      <c r="L87" s="2"/>
      <c r="M87" s="2"/>
      <c r="N87" s="2"/>
      <c r="O87" s="2"/>
      <c r="P87" s="2"/>
    </row>
    <row r="88" spans="2:16" x14ac:dyDescent="0.2">
      <c r="B88" s="8"/>
      <c r="C88" s="2"/>
      <c r="D88" s="2"/>
      <c r="E88" s="2"/>
      <c r="F88" s="2"/>
      <c r="G88" s="2"/>
      <c r="H88" s="2"/>
      <c r="J88" s="2"/>
      <c r="K88" s="2"/>
      <c r="L88" s="2"/>
      <c r="M88" s="2"/>
      <c r="N88" s="2"/>
      <c r="O88" s="2"/>
      <c r="P88" s="2"/>
    </row>
    <row r="89" spans="2:16" x14ac:dyDescent="0.2">
      <c r="B89" s="8"/>
      <c r="C89" s="2"/>
      <c r="D89" s="2"/>
      <c r="E89" s="2"/>
      <c r="F89" s="2"/>
      <c r="G89" s="2"/>
      <c r="H89" s="2"/>
      <c r="J89" s="2"/>
      <c r="K89" s="2"/>
      <c r="L89" s="2"/>
      <c r="M89" s="2"/>
      <c r="N89" s="2"/>
      <c r="O89" s="2"/>
      <c r="P89" s="2"/>
    </row>
    <row r="90" spans="2:16" x14ac:dyDescent="0.2">
      <c r="B90" s="8"/>
      <c r="C90" s="2"/>
      <c r="D90" s="2"/>
      <c r="E90" s="2"/>
      <c r="F90" s="2"/>
      <c r="G90" s="2"/>
      <c r="H90" s="2"/>
      <c r="J90" s="2"/>
      <c r="K90" s="2"/>
      <c r="L90" s="2"/>
      <c r="M90" s="2"/>
      <c r="N90" s="2"/>
      <c r="O90" s="2"/>
      <c r="P90" s="2"/>
    </row>
    <row r="91" spans="2:16" x14ac:dyDescent="0.2">
      <c r="B91" s="8"/>
      <c r="C91" s="2"/>
      <c r="D91" s="2"/>
      <c r="E91" s="2"/>
      <c r="F91" s="2"/>
      <c r="G91" s="2"/>
      <c r="H91" s="2"/>
      <c r="J91" s="2"/>
      <c r="K91" s="2"/>
      <c r="L91" s="2"/>
      <c r="M91" s="2"/>
      <c r="N91" s="2"/>
      <c r="O91" s="2"/>
      <c r="P91" s="2"/>
    </row>
    <row r="92" spans="2:16" x14ac:dyDescent="0.2">
      <c r="B92" s="8"/>
      <c r="C92" s="2"/>
      <c r="D92" s="2"/>
      <c r="E92" s="2"/>
      <c r="F92" s="2"/>
      <c r="G92" s="2"/>
      <c r="H92" s="2"/>
      <c r="J92" s="2"/>
      <c r="K92" s="2"/>
      <c r="L92" s="2"/>
      <c r="M92" s="2"/>
      <c r="N92" s="2"/>
      <c r="O92" s="2"/>
      <c r="P92" s="2"/>
    </row>
    <row r="93" spans="2:16" x14ac:dyDescent="0.2">
      <c r="B93" s="8"/>
      <c r="C93" s="2"/>
      <c r="D93" s="2"/>
      <c r="E93" s="2"/>
      <c r="F93" s="2"/>
      <c r="G93" s="2"/>
      <c r="H93" s="2"/>
      <c r="J93" s="2"/>
      <c r="K93" s="2"/>
      <c r="L93" s="2"/>
      <c r="M93" s="2"/>
      <c r="N93" s="2"/>
      <c r="O93" s="2"/>
      <c r="P93" s="2"/>
    </row>
    <row r="94" spans="2:16" x14ac:dyDescent="0.2">
      <c r="B94" s="8"/>
      <c r="C94" s="2"/>
      <c r="D94" s="2"/>
      <c r="E94" s="2"/>
      <c r="F94" s="2"/>
      <c r="G94" s="2"/>
      <c r="H94" s="2"/>
      <c r="J94" s="2"/>
      <c r="K94" s="2"/>
      <c r="L94" s="2"/>
      <c r="M94" s="2"/>
      <c r="N94" s="2"/>
      <c r="O94" s="2"/>
      <c r="P94" s="2"/>
    </row>
    <row r="95" spans="2:16" x14ac:dyDescent="0.2">
      <c r="B95" s="8"/>
      <c r="C95" s="2"/>
      <c r="D95" s="2"/>
      <c r="E95" s="2"/>
      <c r="F95" s="2"/>
      <c r="G95" s="2"/>
      <c r="H95" s="2"/>
      <c r="J95" s="2"/>
      <c r="K95" s="2"/>
      <c r="L95" s="2"/>
      <c r="M95" s="2"/>
      <c r="N95" s="2"/>
      <c r="O95" s="2"/>
      <c r="P95" s="2"/>
    </row>
    <row r="96" spans="2:16" x14ac:dyDescent="0.2">
      <c r="B96" s="8"/>
      <c r="C96" s="2"/>
      <c r="D96" s="2"/>
      <c r="E96" s="2"/>
      <c r="F96" s="2"/>
      <c r="G96" s="2"/>
      <c r="H96" s="2"/>
      <c r="J96" s="2"/>
      <c r="K96" s="2"/>
      <c r="L96" s="2"/>
      <c r="M96" s="2"/>
      <c r="N96" s="2"/>
      <c r="O96" s="2"/>
      <c r="P96" s="2"/>
    </row>
    <row r="97" spans="2:16" x14ac:dyDescent="0.2">
      <c r="B97" s="8"/>
      <c r="C97" s="2"/>
      <c r="D97" s="2"/>
      <c r="E97" s="2"/>
      <c r="F97" s="2"/>
      <c r="G97" s="2"/>
      <c r="H97" s="2"/>
      <c r="J97" s="2"/>
      <c r="K97" s="2"/>
      <c r="L97" s="2"/>
      <c r="M97" s="2"/>
      <c r="N97" s="2"/>
      <c r="O97" s="2"/>
      <c r="P97" s="2"/>
    </row>
    <row r="98" spans="2:16" x14ac:dyDescent="0.2">
      <c r="B98" s="8"/>
      <c r="C98" s="2"/>
      <c r="D98" s="2"/>
      <c r="E98" s="2"/>
      <c r="F98" s="2"/>
      <c r="G98" s="2"/>
      <c r="H98" s="2"/>
      <c r="J98" s="2"/>
      <c r="K98" s="2"/>
      <c r="L98" s="2"/>
      <c r="M98" s="2"/>
      <c r="N98" s="2"/>
      <c r="O98" s="2"/>
      <c r="P98" s="2"/>
    </row>
    <row r="99" spans="2:16" x14ac:dyDescent="0.2">
      <c r="B99" s="8"/>
      <c r="C99" s="2"/>
      <c r="D99" s="2"/>
      <c r="E99" s="2"/>
      <c r="F99" s="2"/>
      <c r="G99" s="2"/>
      <c r="H99" s="2"/>
      <c r="J99" s="2"/>
      <c r="K99" s="2"/>
      <c r="L99" s="2"/>
      <c r="M99" s="2"/>
      <c r="N99" s="2"/>
      <c r="O99" s="2"/>
      <c r="P99" s="2"/>
    </row>
    <row r="100" spans="2:16" x14ac:dyDescent="0.2">
      <c r="B100" s="8"/>
      <c r="C100" s="2"/>
      <c r="D100" s="2"/>
      <c r="E100" s="2"/>
      <c r="F100" s="2"/>
      <c r="G100" s="2"/>
      <c r="H100" s="2"/>
      <c r="J100" s="2"/>
      <c r="K100" s="2"/>
      <c r="L100" s="2"/>
      <c r="M100" s="2"/>
      <c r="N100" s="2"/>
      <c r="O100" s="2"/>
      <c r="P100" s="2"/>
    </row>
    <row r="101" spans="2:16" x14ac:dyDescent="0.2">
      <c r="B101" s="8"/>
      <c r="C101" s="2"/>
      <c r="D101" s="2"/>
      <c r="E101" s="2"/>
      <c r="F101" s="2"/>
      <c r="G101" s="2"/>
      <c r="H101" s="2"/>
      <c r="J101" s="2"/>
      <c r="K101" s="2"/>
      <c r="L101" s="2"/>
      <c r="M101" s="2"/>
      <c r="N101" s="2"/>
      <c r="O101" s="2"/>
      <c r="P101" s="2"/>
    </row>
    <row r="102" spans="2:16" x14ac:dyDescent="0.2">
      <c r="B102" s="8"/>
      <c r="C102" s="2"/>
      <c r="D102" s="2"/>
      <c r="E102" s="2"/>
      <c r="F102" s="2"/>
      <c r="G102" s="2"/>
      <c r="H102" s="2"/>
      <c r="J102" s="2"/>
      <c r="K102" s="2"/>
      <c r="L102" s="2"/>
      <c r="M102" s="2"/>
      <c r="N102" s="2"/>
      <c r="O102" s="2"/>
      <c r="P102" s="2"/>
    </row>
    <row r="103" spans="2:16" x14ac:dyDescent="0.2">
      <c r="B103" s="8"/>
      <c r="C103" s="2"/>
      <c r="D103" s="2"/>
      <c r="E103" s="2"/>
      <c r="F103" s="2"/>
      <c r="G103" s="2"/>
      <c r="H103" s="2"/>
      <c r="J103" s="2"/>
      <c r="K103" s="2"/>
      <c r="L103" s="2"/>
      <c r="M103" s="2"/>
      <c r="N103" s="2"/>
      <c r="O103" s="2"/>
      <c r="P103" s="2"/>
    </row>
    <row r="104" spans="2:16" x14ac:dyDescent="0.2">
      <c r="B104" s="8"/>
      <c r="C104" s="2"/>
      <c r="D104" s="2"/>
      <c r="E104" s="2"/>
      <c r="F104" s="2"/>
      <c r="G104" s="2"/>
      <c r="H104" s="2"/>
      <c r="J104" s="2"/>
      <c r="K104" s="2"/>
      <c r="L104" s="2"/>
      <c r="M104" s="2"/>
      <c r="N104" s="2"/>
      <c r="O104" s="2"/>
      <c r="P104" s="2"/>
    </row>
    <row r="105" spans="2:16" x14ac:dyDescent="0.2">
      <c r="B105" s="8"/>
      <c r="C105" s="2"/>
      <c r="D105" s="2"/>
      <c r="E105" s="2"/>
      <c r="F105" s="2"/>
      <c r="G105" s="2"/>
      <c r="H105" s="2"/>
      <c r="J105" s="2"/>
      <c r="K105" s="2"/>
      <c r="L105" s="2"/>
      <c r="M105" s="2"/>
      <c r="N105" s="2"/>
      <c r="O105" s="2"/>
      <c r="P105" s="2"/>
    </row>
    <row r="106" spans="2:16" x14ac:dyDescent="0.2">
      <c r="B106" s="8"/>
      <c r="C106" s="2"/>
      <c r="D106" s="2"/>
      <c r="E106" s="2"/>
      <c r="F106" s="2"/>
      <c r="G106" s="2"/>
      <c r="H106" s="2"/>
      <c r="J106" s="2"/>
      <c r="K106" s="2"/>
      <c r="L106" s="2"/>
      <c r="M106" s="2"/>
      <c r="N106" s="2"/>
      <c r="O106" s="2"/>
      <c r="P106" s="2"/>
    </row>
    <row r="107" spans="2:16" x14ac:dyDescent="0.2">
      <c r="B107" s="8"/>
      <c r="C107" s="2"/>
      <c r="D107" s="2"/>
      <c r="E107" s="2"/>
      <c r="F107" s="2"/>
      <c r="G107" s="2"/>
      <c r="H107" s="2"/>
      <c r="J107" s="2"/>
      <c r="K107" s="2"/>
      <c r="L107" s="2"/>
      <c r="M107" s="2"/>
      <c r="N107" s="2"/>
      <c r="O107" s="2"/>
      <c r="P107" s="2"/>
    </row>
    <row r="108" spans="2:16" x14ac:dyDescent="0.2">
      <c r="B108" s="8"/>
      <c r="C108" s="2"/>
      <c r="D108" s="2"/>
      <c r="E108" s="2"/>
      <c r="F108" s="2"/>
      <c r="G108" s="2"/>
      <c r="H108" s="2"/>
      <c r="J108" s="2"/>
      <c r="K108" s="2"/>
      <c r="L108" s="2"/>
      <c r="M108" s="2"/>
      <c r="N108" s="2"/>
      <c r="O108" s="2"/>
      <c r="P108" s="2"/>
    </row>
    <row r="109" spans="2:16" x14ac:dyDescent="0.2">
      <c r="B109" s="8"/>
      <c r="C109" s="2"/>
      <c r="D109" s="2"/>
      <c r="E109" s="2"/>
      <c r="F109" s="2"/>
      <c r="G109" s="2"/>
      <c r="H109" s="2"/>
      <c r="J109" s="2"/>
      <c r="K109" s="2"/>
      <c r="L109" s="2"/>
      <c r="M109" s="2"/>
      <c r="N109" s="2"/>
      <c r="O109" s="2"/>
      <c r="P109" s="2"/>
    </row>
    <row r="110" spans="2:16" x14ac:dyDescent="0.2">
      <c r="B110" s="8"/>
      <c r="C110" s="2"/>
      <c r="D110" s="2"/>
      <c r="E110" s="2"/>
      <c r="F110" s="2"/>
      <c r="G110" s="2"/>
      <c r="H110" s="2"/>
      <c r="J110" s="2"/>
      <c r="K110" s="2"/>
      <c r="L110" s="2"/>
      <c r="M110" s="2"/>
      <c r="N110" s="2"/>
      <c r="O110" s="2"/>
      <c r="P110" s="2"/>
    </row>
    <row r="111" spans="2:16" x14ac:dyDescent="0.2">
      <c r="B111" s="8"/>
      <c r="C111" s="2"/>
      <c r="D111" s="2"/>
      <c r="E111" s="2"/>
      <c r="F111" s="2"/>
      <c r="G111" s="2"/>
      <c r="H111" s="2"/>
      <c r="J111" s="2"/>
      <c r="K111" s="2"/>
      <c r="L111" s="2"/>
      <c r="M111" s="2"/>
      <c r="N111" s="2"/>
      <c r="O111" s="2"/>
      <c r="P111" s="2"/>
    </row>
    <row r="112" spans="2:16" x14ac:dyDescent="0.2">
      <c r="B112" s="8"/>
      <c r="C112" s="2"/>
      <c r="D112" s="2"/>
      <c r="E112" s="2"/>
      <c r="F112" s="2"/>
      <c r="G112" s="2"/>
      <c r="H112" s="2"/>
      <c r="J112" s="2"/>
      <c r="K112" s="2"/>
      <c r="L112" s="2"/>
      <c r="M112" s="2"/>
      <c r="N112" s="2"/>
      <c r="O112" s="2"/>
      <c r="P112" s="2"/>
    </row>
    <row r="113" spans="2:16" x14ac:dyDescent="0.2">
      <c r="B113" s="8"/>
      <c r="C113" s="2"/>
      <c r="D113" s="2"/>
      <c r="E113" s="2"/>
      <c r="F113" s="2"/>
      <c r="G113" s="2"/>
      <c r="H113" s="2"/>
      <c r="J113" s="2"/>
      <c r="K113" s="2"/>
      <c r="L113" s="2"/>
      <c r="M113" s="2"/>
      <c r="N113" s="2"/>
      <c r="O113" s="2"/>
      <c r="P113" s="2"/>
    </row>
    <row r="114" spans="2:16" x14ac:dyDescent="0.2">
      <c r="B114" s="8"/>
      <c r="C114" s="2"/>
      <c r="D114" s="2"/>
      <c r="E114" s="2"/>
      <c r="F114" s="2"/>
      <c r="G114" s="2"/>
      <c r="H114" s="2"/>
      <c r="J114" s="2"/>
      <c r="K114" s="2"/>
      <c r="L114" s="2"/>
      <c r="M114" s="2"/>
      <c r="N114" s="2"/>
      <c r="O114" s="2"/>
      <c r="P114" s="2"/>
    </row>
    <row r="115" spans="2:16" x14ac:dyDescent="0.2">
      <c r="B115" s="8"/>
      <c r="C115" s="2"/>
      <c r="D115" s="2"/>
      <c r="E115" s="2"/>
      <c r="F115" s="2"/>
      <c r="G115" s="2"/>
      <c r="H115" s="2"/>
      <c r="J115" s="2"/>
      <c r="K115" s="2"/>
      <c r="L115" s="2"/>
      <c r="M115" s="2"/>
      <c r="N115" s="2"/>
      <c r="O115" s="2"/>
      <c r="P115" s="2"/>
    </row>
    <row r="116" spans="2:16" x14ac:dyDescent="0.2">
      <c r="B116" s="8"/>
      <c r="C116" s="2"/>
      <c r="D116" s="2"/>
      <c r="E116" s="2"/>
      <c r="F116" s="2"/>
      <c r="G116" s="2"/>
      <c r="H116" s="2"/>
      <c r="J116" s="2"/>
      <c r="K116" s="2"/>
      <c r="L116" s="2"/>
      <c r="M116" s="2"/>
      <c r="N116" s="2"/>
      <c r="O116" s="2"/>
      <c r="P116" s="2"/>
    </row>
    <row r="117" spans="2:16" x14ac:dyDescent="0.2">
      <c r="B117" s="8"/>
      <c r="C117" s="2"/>
      <c r="D117" s="2"/>
      <c r="E117" s="2"/>
      <c r="F117" s="2"/>
      <c r="G117" s="2"/>
      <c r="H117" s="2"/>
      <c r="J117" s="2"/>
      <c r="K117" s="2"/>
      <c r="L117" s="2"/>
      <c r="M117" s="2"/>
      <c r="N117" s="2"/>
      <c r="O117" s="2"/>
      <c r="P117" s="2"/>
    </row>
    <row r="118" spans="2:16" x14ac:dyDescent="0.2">
      <c r="B118" s="8"/>
      <c r="C118" s="2"/>
      <c r="D118" s="2"/>
      <c r="E118" s="2"/>
      <c r="F118" s="2"/>
      <c r="G118" s="2"/>
      <c r="H118" s="2"/>
      <c r="J118" s="2"/>
      <c r="K118" s="2"/>
      <c r="L118" s="2"/>
      <c r="M118" s="2"/>
      <c r="N118" s="2"/>
      <c r="O118" s="2"/>
      <c r="P118" s="2"/>
    </row>
    <row r="119" spans="2:16" x14ac:dyDescent="0.2">
      <c r="B119" s="8"/>
      <c r="C119" s="2"/>
      <c r="D119" s="2"/>
      <c r="E119" s="2"/>
      <c r="F119" s="2"/>
      <c r="G119" s="2"/>
      <c r="H119" s="2"/>
      <c r="J119" s="2"/>
      <c r="K119" s="2"/>
      <c r="L119" s="2"/>
      <c r="M119" s="2"/>
      <c r="N119" s="2"/>
      <c r="O119" s="2"/>
      <c r="P119" s="2"/>
    </row>
    <row r="120" spans="2:16" x14ac:dyDescent="0.2">
      <c r="B120" s="8"/>
      <c r="C120" s="2"/>
      <c r="D120" s="2"/>
      <c r="E120" s="2"/>
      <c r="F120" s="2"/>
      <c r="G120" s="2"/>
      <c r="H120" s="2"/>
      <c r="J120" s="2"/>
      <c r="K120" s="2"/>
      <c r="L120" s="2"/>
      <c r="M120" s="2"/>
      <c r="N120" s="2"/>
      <c r="O120" s="2"/>
      <c r="P120" s="2"/>
    </row>
    <row r="121" spans="2:16" x14ac:dyDescent="0.2">
      <c r="B121" s="8"/>
      <c r="C121" s="2"/>
      <c r="D121" s="2"/>
      <c r="E121" s="2"/>
      <c r="F121" s="2"/>
      <c r="G121" s="2"/>
      <c r="H121" s="2"/>
      <c r="J121" s="2"/>
      <c r="K121" s="2"/>
      <c r="L121" s="2"/>
      <c r="M121" s="2"/>
      <c r="N121" s="2"/>
      <c r="O121" s="2"/>
      <c r="P121" s="2"/>
    </row>
    <row r="122" spans="2:16" x14ac:dyDescent="0.2">
      <c r="B122" s="8"/>
      <c r="C122" s="2"/>
      <c r="D122" s="2"/>
      <c r="E122" s="2"/>
      <c r="F122" s="2"/>
      <c r="G122" s="2"/>
      <c r="H122" s="2"/>
      <c r="J122" s="2"/>
      <c r="K122" s="2"/>
      <c r="L122" s="2"/>
      <c r="M122" s="2"/>
      <c r="N122" s="2"/>
      <c r="O122" s="2"/>
      <c r="P122" s="2"/>
    </row>
    <row r="123" spans="2:16" x14ac:dyDescent="0.2">
      <c r="B123" s="8"/>
      <c r="C123" s="2"/>
      <c r="D123" s="2"/>
      <c r="E123" s="2"/>
      <c r="F123" s="2"/>
      <c r="G123" s="2"/>
      <c r="H123" s="2"/>
      <c r="J123" s="2"/>
      <c r="K123" s="2"/>
      <c r="L123" s="2"/>
      <c r="M123" s="2"/>
      <c r="N123" s="2"/>
      <c r="O123" s="2"/>
      <c r="P123" s="2"/>
    </row>
    <row r="124" spans="2:16" x14ac:dyDescent="0.2">
      <c r="B124" s="8"/>
      <c r="C124" s="2"/>
      <c r="D124" s="2"/>
      <c r="E124" s="2"/>
      <c r="F124" s="2"/>
      <c r="G124" s="2"/>
      <c r="H124" s="2"/>
      <c r="J124" s="2"/>
      <c r="K124" s="2"/>
      <c r="L124" s="2"/>
      <c r="M124" s="2"/>
      <c r="N124" s="2"/>
      <c r="O124" s="2"/>
      <c r="P124" s="2"/>
    </row>
    <row r="125" spans="2:16" x14ac:dyDescent="0.2">
      <c r="B125" s="8"/>
      <c r="C125" s="2"/>
      <c r="D125" s="2"/>
      <c r="E125" s="2"/>
      <c r="F125" s="2"/>
      <c r="G125" s="2"/>
      <c r="H125" s="2"/>
      <c r="J125" s="2"/>
      <c r="K125" s="2"/>
      <c r="L125" s="2"/>
      <c r="M125" s="2"/>
      <c r="N125" s="2"/>
      <c r="O125" s="2"/>
      <c r="P125" s="2"/>
    </row>
    <row r="126" spans="2:16" x14ac:dyDescent="0.2">
      <c r="B126" s="8"/>
      <c r="C126" s="2"/>
      <c r="D126" s="2"/>
      <c r="E126" s="2"/>
      <c r="F126" s="2"/>
      <c r="G126" s="2"/>
      <c r="H126" s="2"/>
      <c r="J126" s="2"/>
      <c r="K126" s="2"/>
      <c r="L126" s="2"/>
      <c r="M126" s="2"/>
      <c r="N126" s="2"/>
      <c r="O126" s="2"/>
      <c r="P126" s="2"/>
    </row>
    <row r="127" spans="2:16" x14ac:dyDescent="0.2">
      <c r="B127" s="8"/>
      <c r="C127" s="2"/>
      <c r="D127" s="2"/>
      <c r="E127" s="2"/>
      <c r="F127" s="2"/>
      <c r="G127" s="2"/>
      <c r="H127" s="2"/>
      <c r="J127" s="2"/>
      <c r="K127" s="2"/>
      <c r="L127" s="2"/>
      <c r="M127" s="2"/>
      <c r="N127" s="2"/>
      <c r="O127" s="2"/>
      <c r="P127" s="2"/>
    </row>
    <row r="128" spans="2:16" x14ac:dyDescent="0.2">
      <c r="B128" s="8"/>
      <c r="C128" s="2"/>
      <c r="D128" s="2"/>
      <c r="E128" s="2"/>
      <c r="F128" s="2"/>
      <c r="G128" s="2"/>
      <c r="H128" s="2"/>
      <c r="J128" s="2"/>
      <c r="K128" s="2"/>
      <c r="L128" s="2"/>
      <c r="M128" s="2"/>
      <c r="N128" s="2"/>
      <c r="O128" s="2"/>
      <c r="P128" s="2"/>
    </row>
    <row r="129" spans="1:25" x14ac:dyDescent="0.2">
      <c r="B129" s="8"/>
      <c r="C129" s="2"/>
      <c r="D129" s="2"/>
      <c r="E129" s="2"/>
      <c r="F129" s="2"/>
      <c r="G129" s="2"/>
      <c r="H129" s="2"/>
      <c r="J129" s="2"/>
      <c r="K129" s="2"/>
      <c r="L129" s="2"/>
      <c r="M129" s="2"/>
      <c r="N129" s="2"/>
      <c r="O129" s="2"/>
      <c r="P129" s="2"/>
    </row>
    <row r="130" spans="1:25" x14ac:dyDescent="0.2">
      <c r="B130" s="8"/>
      <c r="C130" s="2"/>
      <c r="D130" s="2"/>
      <c r="E130" s="2"/>
      <c r="F130" s="2"/>
      <c r="G130" s="2"/>
      <c r="H130" s="2"/>
      <c r="J130" s="2"/>
      <c r="K130" s="2"/>
      <c r="L130" s="2"/>
      <c r="M130" s="2"/>
      <c r="N130" s="2"/>
      <c r="O130" s="2"/>
      <c r="P130" s="2"/>
    </row>
    <row r="131" spans="1:25" x14ac:dyDescent="0.2">
      <c r="B131" s="8"/>
      <c r="C131" s="2"/>
      <c r="D131" s="2"/>
      <c r="E131" s="2"/>
      <c r="F131" s="2"/>
      <c r="G131" s="2"/>
      <c r="H131" s="2"/>
      <c r="J131" s="2"/>
      <c r="K131" s="2"/>
      <c r="L131" s="2"/>
      <c r="M131" s="2"/>
      <c r="N131" s="2"/>
      <c r="O131" s="2"/>
      <c r="P131" s="2"/>
    </row>
    <row r="132" spans="1:25" x14ac:dyDescent="0.2">
      <c r="B132" s="8"/>
      <c r="C132" s="2"/>
      <c r="D132" s="2"/>
      <c r="E132" s="2"/>
      <c r="F132" s="2"/>
      <c r="G132" s="2"/>
      <c r="H132" s="2"/>
      <c r="J132" s="2"/>
      <c r="K132" s="2"/>
      <c r="L132" s="2"/>
      <c r="M132" s="2"/>
      <c r="N132" s="2"/>
      <c r="O132" s="2"/>
      <c r="P132" s="2"/>
    </row>
    <row r="133" spans="1:25" x14ac:dyDescent="0.2">
      <c r="B133" s="8"/>
      <c r="C133" s="2"/>
      <c r="D133" s="2"/>
      <c r="E133" s="2"/>
      <c r="F133" s="2"/>
      <c r="G133" s="2"/>
      <c r="H133" s="2"/>
      <c r="J133" s="2"/>
      <c r="K133" s="2"/>
      <c r="L133" s="2"/>
      <c r="M133" s="2"/>
      <c r="N133" s="2"/>
      <c r="O133" s="2"/>
      <c r="P133" s="2"/>
    </row>
    <row r="134" spans="1:25" x14ac:dyDescent="0.2">
      <c r="B134" s="63" t="s">
        <v>91</v>
      </c>
      <c r="C134" s="2"/>
      <c r="D134" s="2"/>
      <c r="E134" s="2"/>
      <c r="F134" s="2"/>
      <c r="G134" s="2"/>
      <c r="H134" s="2"/>
      <c r="J134" s="2"/>
      <c r="K134" s="2"/>
      <c r="L134" s="2"/>
      <c r="M134" s="2"/>
      <c r="N134" s="2"/>
      <c r="O134" s="2"/>
      <c r="P134" s="2"/>
    </row>
    <row r="135" spans="1:25" s="64" customFormat="1" x14ac:dyDescent="0.2">
      <c r="A135" s="8"/>
      <c r="B135" s="8"/>
      <c r="C135" s="8" t="s">
        <v>92</v>
      </c>
      <c r="D135" s="8" t="s">
        <v>93</v>
      </c>
      <c r="E135" s="8" t="s">
        <v>16</v>
      </c>
      <c r="F135" s="8"/>
      <c r="G135" s="8"/>
      <c r="H135" s="8" t="s">
        <v>25</v>
      </c>
      <c r="I135" s="8"/>
      <c r="J135" s="8" t="s">
        <v>86</v>
      </c>
      <c r="K135" s="8"/>
      <c r="L135" s="8"/>
      <c r="M135" s="8"/>
      <c r="N135" s="8"/>
      <c r="O135" s="8"/>
      <c r="P135" s="8"/>
      <c r="Q135" s="8"/>
      <c r="R135" s="8"/>
      <c r="S135" s="8"/>
      <c r="T135" s="8"/>
      <c r="U135" s="8"/>
      <c r="V135" s="8"/>
      <c r="W135" s="8"/>
      <c r="X135" s="8"/>
      <c r="Y135" s="8"/>
    </row>
    <row r="136" spans="1:25" x14ac:dyDescent="0.2">
      <c r="B136" s="8"/>
      <c r="C136" s="65" t="s">
        <v>87</v>
      </c>
      <c r="D136" s="65" t="s">
        <v>87</v>
      </c>
      <c r="E136" s="65" t="s">
        <v>87</v>
      </c>
      <c r="F136" s="2"/>
      <c r="G136" s="2"/>
      <c r="H136" s="65" t="s">
        <v>87</v>
      </c>
      <c r="J136" s="2"/>
      <c r="K136" s="2"/>
      <c r="L136" s="2"/>
      <c r="M136" s="2"/>
      <c r="N136" s="2"/>
      <c r="O136" s="2"/>
      <c r="P136" s="2"/>
    </row>
    <row r="137" spans="1:25" x14ac:dyDescent="0.2">
      <c r="B137" s="8"/>
      <c r="C137" s="13" t="s">
        <v>1</v>
      </c>
      <c r="D137" s="2" t="s">
        <v>7</v>
      </c>
      <c r="E137" s="2" t="s">
        <v>11</v>
      </c>
      <c r="F137" s="2"/>
      <c r="G137" s="2"/>
      <c r="H137" s="2" t="s">
        <v>94</v>
      </c>
      <c r="J137" s="2" t="s">
        <v>95</v>
      </c>
      <c r="K137" s="2"/>
      <c r="L137" s="2"/>
      <c r="M137" s="2"/>
      <c r="N137" s="2"/>
      <c r="O137" s="2"/>
      <c r="P137" s="2"/>
    </row>
    <row r="138" spans="1:25" x14ac:dyDescent="0.2">
      <c r="B138" s="8"/>
      <c r="C138" s="2" t="s">
        <v>2</v>
      </c>
      <c r="D138" s="2" t="s">
        <v>8</v>
      </c>
      <c r="E138" s="2" t="s">
        <v>96</v>
      </c>
      <c r="F138" s="2"/>
      <c r="G138" s="2"/>
      <c r="H138" s="2" t="s">
        <v>97</v>
      </c>
      <c r="J138" s="2" t="s">
        <v>98</v>
      </c>
      <c r="K138" s="2"/>
      <c r="L138" s="2"/>
      <c r="M138" s="2"/>
      <c r="N138" s="2"/>
      <c r="O138" s="2"/>
      <c r="P138" s="2"/>
    </row>
    <row r="139" spans="1:25" x14ac:dyDescent="0.2">
      <c r="B139" s="8"/>
      <c r="C139" s="2" t="s">
        <v>3</v>
      </c>
      <c r="D139" s="2" t="s">
        <v>9</v>
      </c>
      <c r="E139" s="2" t="s">
        <v>99</v>
      </c>
      <c r="F139" s="2"/>
      <c r="G139" s="2"/>
      <c r="H139" s="2" t="s">
        <v>100</v>
      </c>
      <c r="J139" s="2"/>
      <c r="K139" s="2"/>
      <c r="L139" s="2"/>
      <c r="M139" s="2"/>
      <c r="N139" s="2"/>
      <c r="O139" s="2"/>
      <c r="P139" s="2"/>
    </row>
    <row r="140" spans="1:25" x14ac:dyDescent="0.2">
      <c r="B140" s="8"/>
      <c r="C140" s="2" t="s">
        <v>4</v>
      </c>
      <c r="D140" s="2" t="s">
        <v>10</v>
      </c>
      <c r="E140" s="2" t="s">
        <v>12</v>
      </c>
      <c r="F140" s="2"/>
      <c r="G140" s="2"/>
      <c r="H140" s="2" t="s">
        <v>101</v>
      </c>
      <c r="J140" s="2"/>
      <c r="K140" s="2"/>
      <c r="L140" s="2"/>
      <c r="M140" s="2"/>
      <c r="N140" s="2"/>
      <c r="O140" s="2"/>
      <c r="P140" s="2"/>
    </row>
    <row r="141" spans="1:25" x14ac:dyDescent="0.2">
      <c r="B141" s="8"/>
      <c r="C141" s="2" t="s">
        <v>5</v>
      </c>
      <c r="D141" s="2"/>
      <c r="E141" s="2" t="s">
        <v>13</v>
      </c>
      <c r="F141" s="2"/>
      <c r="G141" s="2"/>
      <c r="H141" s="2" t="s">
        <v>13</v>
      </c>
      <c r="J141" s="2"/>
      <c r="K141" s="2"/>
      <c r="L141" s="2"/>
      <c r="M141" s="2"/>
      <c r="N141" s="2"/>
      <c r="O141" s="2"/>
      <c r="P141" s="2"/>
    </row>
    <row r="142" spans="1:25" x14ac:dyDescent="0.2">
      <c r="B142" s="8"/>
      <c r="C142" s="2" t="s">
        <v>102</v>
      </c>
      <c r="D142" s="2"/>
      <c r="E142" s="2"/>
      <c r="F142" s="2"/>
      <c r="G142" s="2"/>
      <c r="H142" s="2"/>
      <c r="J142" s="2"/>
      <c r="K142" s="2"/>
      <c r="L142" s="2"/>
      <c r="M142" s="2"/>
      <c r="N142" s="2"/>
      <c r="O142" s="2"/>
      <c r="P142" s="2"/>
    </row>
    <row r="143" spans="1:25" x14ac:dyDescent="0.2">
      <c r="B143" s="8"/>
      <c r="C143" s="2" t="s">
        <v>6</v>
      </c>
      <c r="D143" s="2"/>
      <c r="E143" s="2"/>
      <c r="F143" s="2"/>
      <c r="G143" s="2"/>
      <c r="H143" s="2"/>
      <c r="J143" s="2"/>
      <c r="K143" s="2"/>
      <c r="L143" s="2"/>
      <c r="M143" s="2"/>
      <c r="N143" s="2"/>
      <c r="O143" s="2"/>
      <c r="P143" s="2"/>
    </row>
    <row r="144" spans="1:25" x14ac:dyDescent="0.2">
      <c r="B144" s="8"/>
      <c r="C144" s="2" t="s">
        <v>103</v>
      </c>
      <c r="D144" s="2"/>
      <c r="E144" s="2"/>
      <c r="F144" s="2"/>
      <c r="G144" s="2"/>
      <c r="H144" s="2"/>
      <c r="J144" s="2"/>
      <c r="K144" s="2"/>
      <c r="L144" s="2"/>
      <c r="M144" s="2"/>
      <c r="N144" s="2"/>
      <c r="O144" s="2"/>
      <c r="P144" s="2"/>
    </row>
    <row r="145" spans="2:16" x14ac:dyDescent="0.2">
      <c r="B145" s="8"/>
      <c r="C145" s="13" t="s">
        <v>104</v>
      </c>
      <c r="D145" s="2"/>
      <c r="E145" s="2"/>
      <c r="F145" s="2"/>
      <c r="G145" s="2"/>
      <c r="H145" s="2"/>
      <c r="J145" s="2"/>
      <c r="K145" s="2"/>
      <c r="L145" s="2"/>
      <c r="M145" s="2"/>
      <c r="N145" s="2"/>
      <c r="O145" s="2"/>
      <c r="P145" s="2"/>
    </row>
    <row r="146" spans="2:16" x14ac:dyDescent="0.2">
      <c r="B146" s="8"/>
    </row>
    <row r="147" spans="2:16" x14ac:dyDescent="0.2">
      <c r="B147" s="8"/>
    </row>
    <row r="148" spans="2:16" x14ac:dyDescent="0.2">
      <c r="B148" s="8"/>
    </row>
    <row r="149" spans="2:16" x14ac:dyDescent="0.2">
      <c r="B149" s="8"/>
    </row>
    <row r="150" spans="2:16" x14ac:dyDescent="0.2">
      <c r="B150" s="8"/>
    </row>
    <row r="151" spans="2:16" x14ac:dyDescent="0.2">
      <c r="B151" s="8"/>
    </row>
    <row r="152" spans="2:16" x14ac:dyDescent="0.2">
      <c r="B152" s="8"/>
    </row>
    <row r="153" spans="2:16" x14ac:dyDescent="0.2">
      <c r="B153" s="8"/>
    </row>
    <row r="154" spans="2:16" x14ac:dyDescent="0.2">
      <c r="B154" s="8"/>
    </row>
    <row r="155" spans="2:16" x14ac:dyDescent="0.2">
      <c r="B155" s="8"/>
    </row>
    <row r="156" spans="2:16" x14ac:dyDescent="0.2">
      <c r="B156" s="8"/>
    </row>
    <row r="157" spans="2:16" x14ac:dyDescent="0.2">
      <c r="B157" s="8"/>
    </row>
    <row r="158" spans="2:16" x14ac:dyDescent="0.2">
      <c r="B158" s="8"/>
    </row>
    <row r="159" spans="2:16" x14ac:dyDescent="0.2">
      <c r="B159" s="8"/>
    </row>
    <row r="160" spans="2:16" x14ac:dyDescent="0.2">
      <c r="B160" s="8"/>
    </row>
    <row r="161" spans="2:2" x14ac:dyDescent="0.2">
      <c r="B161" s="8"/>
    </row>
    <row r="162" spans="2:2" x14ac:dyDescent="0.2">
      <c r="B162" s="8"/>
    </row>
    <row r="163" spans="2:2" x14ac:dyDescent="0.2">
      <c r="B163" s="8"/>
    </row>
    <row r="164" spans="2:2" x14ac:dyDescent="0.2">
      <c r="B164" s="8"/>
    </row>
    <row r="165" spans="2:2" x14ac:dyDescent="0.2">
      <c r="B165" s="8"/>
    </row>
    <row r="166" spans="2:2" x14ac:dyDescent="0.2">
      <c r="B166" s="8"/>
    </row>
    <row r="167" spans="2:2" x14ac:dyDescent="0.2">
      <c r="B167" s="8"/>
    </row>
    <row r="168" spans="2:2" x14ac:dyDescent="0.2">
      <c r="B168" s="8"/>
    </row>
    <row r="169" spans="2:2" x14ac:dyDescent="0.2">
      <c r="B169" s="8"/>
    </row>
    <row r="170" spans="2:2" x14ac:dyDescent="0.2">
      <c r="B170" s="8"/>
    </row>
    <row r="171" spans="2:2" x14ac:dyDescent="0.2">
      <c r="B171" s="8"/>
    </row>
    <row r="172" spans="2:2" x14ac:dyDescent="0.2">
      <c r="B172" s="8"/>
    </row>
    <row r="173" spans="2:2" x14ac:dyDescent="0.2">
      <c r="B173" s="8"/>
    </row>
    <row r="174" spans="2:2" x14ac:dyDescent="0.2">
      <c r="B174" s="8"/>
    </row>
    <row r="175" spans="2:2" x14ac:dyDescent="0.2">
      <c r="B175" s="8"/>
    </row>
    <row r="176" spans="2:2" x14ac:dyDescent="0.2">
      <c r="B176" s="8"/>
    </row>
    <row r="177" spans="2:2" x14ac:dyDescent="0.2">
      <c r="B177" s="8"/>
    </row>
    <row r="178" spans="2:2" x14ac:dyDescent="0.2">
      <c r="B178" s="8"/>
    </row>
    <row r="179" spans="2:2" x14ac:dyDescent="0.2">
      <c r="B179" s="8"/>
    </row>
    <row r="180" spans="2:2" x14ac:dyDescent="0.2">
      <c r="B180" s="8"/>
    </row>
    <row r="181" spans="2:2" x14ac:dyDescent="0.2">
      <c r="B181" s="8"/>
    </row>
    <row r="182" spans="2:2" x14ac:dyDescent="0.2">
      <c r="B182" s="8"/>
    </row>
    <row r="183" spans="2:2" x14ac:dyDescent="0.2">
      <c r="B183" s="8"/>
    </row>
    <row r="184" spans="2:2" x14ac:dyDescent="0.2">
      <c r="B184" s="8"/>
    </row>
    <row r="185" spans="2:2" x14ac:dyDescent="0.2">
      <c r="B185" s="8"/>
    </row>
    <row r="186" spans="2:2" x14ac:dyDescent="0.2">
      <c r="B186" s="8"/>
    </row>
    <row r="187" spans="2:2" x14ac:dyDescent="0.2">
      <c r="B187" s="8"/>
    </row>
    <row r="188" spans="2:2" x14ac:dyDescent="0.2">
      <c r="B188" s="8"/>
    </row>
    <row r="189" spans="2:2" x14ac:dyDescent="0.2">
      <c r="B189" s="8"/>
    </row>
    <row r="190" spans="2:2" x14ac:dyDescent="0.2">
      <c r="B190" s="8"/>
    </row>
    <row r="191" spans="2:2" x14ac:dyDescent="0.2">
      <c r="B191" s="8"/>
    </row>
    <row r="192" spans="2:2" x14ac:dyDescent="0.2">
      <c r="B192" s="8"/>
    </row>
    <row r="193" spans="2:2" x14ac:dyDescent="0.2">
      <c r="B193" s="8"/>
    </row>
    <row r="194" spans="2:2" x14ac:dyDescent="0.2">
      <c r="B194" s="8"/>
    </row>
    <row r="195" spans="2:2" x14ac:dyDescent="0.2">
      <c r="B195" s="8"/>
    </row>
    <row r="196" spans="2:2" x14ac:dyDescent="0.2">
      <c r="B196" s="8"/>
    </row>
    <row r="197" spans="2:2" x14ac:dyDescent="0.2">
      <c r="B197" s="8"/>
    </row>
    <row r="198" spans="2:2" x14ac:dyDescent="0.2">
      <c r="B198" s="8"/>
    </row>
    <row r="199" spans="2:2" x14ac:dyDescent="0.2">
      <c r="B199" s="8"/>
    </row>
    <row r="200" spans="2:2" x14ac:dyDescent="0.2">
      <c r="B200" s="8"/>
    </row>
    <row r="201" spans="2:2" x14ac:dyDescent="0.2">
      <c r="B201" s="8"/>
    </row>
    <row r="202" spans="2:2" x14ac:dyDescent="0.2">
      <c r="B202" s="8"/>
    </row>
    <row r="203" spans="2:2" x14ac:dyDescent="0.2">
      <c r="B203" s="8"/>
    </row>
    <row r="204" spans="2:2" x14ac:dyDescent="0.2">
      <c r="B204" s="8"/>
    </row>
    <row r="205" spans="2:2" x14ac:dyDescent="0.2">
      <c r="B205" s="8"/>
    </row>
    <row r="206" spans="2:2" x14ac:dyDescent="0.2">
      <c r="B206" s="8"/>
    </row>
    <row r="207" spans="2:2" x14ac:dyDescent="0.2">
      <c r="B207" s="8"/>
    </row>
    <row r="208" spans="2:2" x14ac:dyDescent="0.2">
      <c r="B208" s="8"/>
    </row>
    <row r="209" spans="2:2" x14ac:dyDescent="0.2">
      <c r="B209" s="8"/>
    </row>
    <row r="210" spans="2:2" x14ac:dyDescent="0.2">
      <c r="B210" s="8"/>
    </row>
    <row r="211" spans="2:2" x14ac:dyDescent="0.2">
      <c r="B211" s="8"/>
    </row>
    <row r="212" spans="2:2" x14ac:dyDescent="0.2">
      <c r="B212" s="8"/>
    </row>
    <row r="213" spans="2:2" x14ac:dyDescent="0.2">
      <c r="B213" s="8"/>
    </row>
    <row r="214" spans="2:2" x14ac:dyDescent="0.2">
      <c r="B214" s="8"/>
    </row>
    <row r="215" spans="2:2" x14ac:dyDescent="0.2">
      <c r="B215" s="8"/>
    </row>
    <row r="216" spans="2:2" x14ac:dyDescent="0.2">
      <c r="B216" s="8"/>
    </row>
    <row r="217" spans="2:2" x14ac:dyDescent="0.2">
      <c r="B217" s="8"/>
    </row>
    <row r="218" spans="2:2" x14ac:dyDescent="0.2">
      <c r="B218" s="8"/>
    </row>
    <row r="219" spans="2:2" x14ac:dyDescent="0.2">
      <c r="B219" s="8"/>
    </row>
    <row r="220" spans="2:2" x14ac:dyDescent="0.2">
      <c r="B220" s="8"/>
    </row>
    <row r="221" spans="2:2" x14ac:dyDescent="0.2">
      <c r="B221" s="8"/>
    </row>
    <row r="222" spans="2:2" x14ac:dyDescent="0.2">
      <c r="B222" s="8"/>
    </row>
    <row r="223" spans="2:2" x14ac:dyDescent="0.2">
      <c r="B223" s="8"/>
    </row>
    <row r="224" spans="2:2" x14ac:dyDescent="0.2">
      <c r="B224" s="8"/>
    </row>
    <row r="225" spans="2:2" x14ac:dyDescent="0.2">
      <c r="B225" s="8"/>
    </row>
    <row r="226" spans="2:2" x14ac:dyDescent="0.2">
      <c r="B226" s="8"/>
    </row>
    <row r="227" spans="2:2" x14ac:dyDescent="0.2">
      <c r="B227" s="8"/>
    </row>
    <row r="228" spans="2:2" x14ac:dyDescent="0.2">
      <c r="B228" s="8"/>
    </row>
    <row r="229" spans="2:2" x14ac:dyDescent="0.2">
      <c r="B229" s="8"/>
    </row>
    <row r="230" spans="2:2" x14ac:dyDescent="0.2">
      <c r="B230" s="8"/>
    </row>
    <row r="231" spans="2:2" x14ac:dyDescent="0.2">
      <c r="B231" s="8"/>
    </row>
    <row r="232" spans="2:2" x14ac:dyDescent="0.2">
      <c r="B232" s="8"/>
    </row>
    <row r="233" spans="2:2" x14ac:dyDescent="0.2">
      <c r="B233" s="8"/>
    </row>
    <row r="234" spans="2:2" x14ac:dyDescent="0.2">
      <c r="B234" s="8"/>
    </row>
    <row r="235" spans="2:2" x14ac:dyDescent="0.2">
      <c r="B235" s="8"/>
    </row>
    <row r="236" spans="2:2" x14ac:dyDescent="0.2">
      <c r="B236" s="8"/>
    </row>
    <row r="237" spans="2:2" x14ac:dyDescent="0.2">
      <c r="B237" s="8"/>
    </row>
    <row r="238" spans="2:2" x14ac:dyDescent="0.2">
      <c r="B238" s="8"/>
    </row>
    <row r="239" spans="2:2" x14ac:dyDescent="0.2">
      <c r="B239" s="8"/>
    </row>
    <row r="240" spans="2:2" x14ac:dyDescent="0.2">
      <c r="B240" s="8"/>
    </row>
    <row r="241" spans="2:2" x14ac:dyDescent="0.2">
      <c r="B241" s="8"/>
    </row>
    <row r="242" spans="2:2" x14ac:dyDescent="0.2">
      <c r="B242" s="8"/>
    </row>
    <row r="243" spans="2:2" x14ac:dyDescent="0.2">
      <c r="B243" s="8"/>
    </row>
    <row r="244" spans="2:2" x14ac:dyDescent="0.2">
      <c r="B244" s="8"/>
    </row>
    <row r="245" spans="2:2" x14ac:dyDescent="0.2">
      <c r="B245" s="8"/>
    </row>
    <row r="246" spans="2:2" x14ac:dyDescent="0.2">
      <c r="B246" s="8"/>
    </row>
    <row r="247" spans="2:2" x14ac:dyDescent="0.2">
      <c r="B247" s="8"/>
    </row>
    <row r="248" spans="2:2" x14ac:dyDescent="0.2">
      <c r="B248" s="8"/>
    </row>
    <row r="249" spans="2:2" x14ac:dyDescent="0.2">
      <c r="B249" s="8"/>
    </row>
    <row r="250" spans="2:2" x14ac:dyDescent="0.2">
      <c r="B250" s="8"/>
    </row>
    <row r="251" spans="2:2" x14ac:dyDescent="0.2">
      <c r="B251" s="8"/>
    </row>
    <row r="252" spans="2:2" x14ac:dyDescent="0.2">
      <c r="B252" s="8"/>
    </row>
    <row r="253" spans="2:2" x14ac:dyDescent="0.2">
      <c r="B253" s="8"/>
    </row>
    <row r="254" spans="2:2" x14ac:dyDescent="0.2">
      <c r="B254" s="8"/>
    </row>
    <row r="255" spans="2:2" x14ac:dyDescent="0.2">
      <c r="B255" s="8"/>
    </row>
    <row r="256" spans="2:2" x14ac:dyDescent="0.2">
      <c r="B256" s="8"/>
    </row>
    <row r="257" spans="2:2" x14ac:dyDescent="0.2">
      <c r="B257" s="8"/>
    </row>
    <row r="258" spans="2:2" x14ac:dyDescent="0.2">
      <c r="B258" s="8"/>
    </row>
    <row r="259" spans="2:2" x14ac:dyDescent="0.2">
      <c r="B259" s="8"/>
    </row>
    <row r="260" spans="2:2" x14ac:dyDescent="0.2">
      <c r="B260" s="8"/>
    </row>
    <row r="261" spans="2:2" x14ac:dyDescent="0.2">
      <c r="B261" s="8"/>
    </row>
    <row r="262" spans="2:2" x14ac:dyDescent="0.2">
      <c r="B262" s="8"/>
    </row>
    <row r="263" spans="2:2" x14ac:dyDescent="0.2">
      <c r="B263" s="8"/>
    </row>
    <row r="264" spans="2:2" x14ac:dyDescent="0.2">
      <c r="B264" s="8"/>
    </row>
    <row r="265" spans="2:2" x14ac:dyDescent="0.2">
      <c r="B265" s="8"/>
    </row>
    <row r="266" spans="2:2" x14ac:dyDescent="0.2">
      <c r="B266" s="8"/>
    </row>
    <row r="267" spans="2:2" x14ac:dyDescent="0.2">
      <c r="B267" s="8"/>
    </row>
    <row r="268" spans="2:2" x14ac:dyDescent="0.2">
      <c r="B268" s="8"/>
    </row>
    <row r="269" spans="2:2" x14ac:dyDescent="0.2">
      <c r="B269" s="8"/>
    </row>
    <row r="270" spans="2:2" x14ac:dyDescent="0.2">
      <c r="B270" s="8"/>
    </row>
    <row r="271" spans="2:2" x14ac:dyDescent="0.2">
      <c r="B271" s="8"/>
    </row>
    <row r="272" spans="2:2" x14ac:dyDescent="0.2">
      <c r="B272" s="8"/>
    </row>
    <row r="273" spans="2:2" x14ac:dyDescent="0.2">
      <c r="B273" s="8"/>
    </row>
    <row r="274" spans="2:2" x14ac:dyDescent="0.2">
      <c r="B274" s="8"/>
    </row>
    <row r="275" spans="2:2" x14ac:dyDescent="0.2">
      <c r="B275" s="8"/>
    </row>
    <row r="276" spans="2:2" x14ac:dyDescent="0.2">
      <c r="B276" s="8"/>
    </row>
    <row r="277" spans="2:2" x14ac:dyDescent="0.2">
      <c r="B277" s="8"/>
    </row>
    <row r="278" spans="2:2" x14ac:dyDescent="0.2">
      <c r="B278" s="8"/>
    </row>
    <row r="279" spans="2:2" x14ac:dyDescent="0.2">
      <c r="B279" s="8"/>
    </row>
    <row r="280" spans="2:2" x14ac:dyDescent="0.2">
      <c r="B280" s="8"/>
    </row>
    <row r="281" spans="2:2" x14ac:dyDescent="0.2">
      <c r="B281" s="8"/>
    </row>
    <row r="282" spans="2:2" x14ac:dyDescent="0.2">
      <c r="B282" s="8"/>
    </row>
    <row r="283" spans="2:2" x14ac:dyDescent="0.2">
      <c r="B283" s="8"/>
    </row>
    <row r="284" spans="2:2" x14ac:dyDescent="0.2">
      <c r="B284" s="8"/>
    </row>
    <row r="285" spans="2:2" x14ac:dyDescent="0.2">
      <c r="B285" s="8"/>
    </row>
    <row r="286" spans="2:2" x14ac:dyDescent="0.2">
      <c r="B286" s="8"/>
    </row>
    <row r="287" spans="2:2" x14ac:dyDescent="0.2">
      <c r="B287" s="8"/>
    </row>
    <row r="288" spans="2:2" x14ac:dyDescent="0.2">
      <c r="B288" s="8"/>
    </row>
    <row r="289" spans="2:2" x14ac:dyDescent="0.2">
      <c r="B289" s="8"/>
    </row>
    <row r="290" spans="2:2" x14ac:dyDescent="0.2">
      <c r="B290" s="8"/>
    </row>
    <row r="291" spans="2:2" x14ac:dyDescent="0.2">
      <c r="B291" s="8"/>
    </row>
    <row r="292" spans="2:2" x14ac:dyDescent="0.2">
      <c r="B292" s="8"/>
    </row>
    <row r="293" spans="2:2" x14ac:dyDescent="0.2">
      <c r="B293" s="8"/>
    </row>
    <row r="294" spans="2:2" x14ac:dyDescent="0.2">
      <c r="B294" s="8"/>
    </row>
    <row r="295" spans="2:2" x14ac:dyDescent="0.2">
      <c r="B295" s="8"/>
    </row>
    <row r="296" spans="2:2" x14ac:dyDescent="0.2">
      <c r="B296" s="8"/>
    </row>
    <row r="297" spans="2:2" x14ac:dyDescent="0.2">
      <c r="B297" s="8"/>
    </row>
    <row r="298" spans="2:2" x14ac:dyDescent="0.2">
      <c r="B298" s="8"/>
    </row>
    <row r="299" spans="2:2" x14ac:dyDescent="0.2">
      <c r="B299" s="8"/>
    </row>
    <row r="300" spans="2:2" x14ac:dyDescent="0.2">
      <c r="B300" s="8"/>
    </row>
    <row r="301" spans="2:2" x14ac:dyDescent="0.2">
      <c r="B301" s="8"/>
    </row>
    <row r="302" spans="2:2" x14ac:dyDescent="0.2">
      <c r="B302" s="8"/>
    </row>
    <row r="303" spans="2:2" x14ac:dyDescent="0.2">
      <c r="B303" s="8"/>
    </row>
    <row r="304" spans="2:2" x14ac:dyDescent="0.2">
      <c r="B304" s="8"/>
    </row>
    <row r="305" spans="2:2" x14ac:dyDescent="0.2">
      <c r="B305" s="8"/>
    </row>
    <row r="306" spans="2:2" x14ac:dyDescent="0.2">
      <c r="B306" s="8"/>
    </row>
    <row r="307" spans="2:2" x14ac:dyDescent="0.2">
      <c r="B307" s="8"/>
    </row>
    <row r="308" spans="2:2" x14ac:dyDescent="0.2">
      <c r="B308" s="8"/>
    </row>
    <row r="309" spans="2:2" x14ac:dyDescent="0.2">
      <c r="B309" s="8"/>
    </row>
    <row r="310" spans="2:2" x14ac:dyDescent="0.2">
      <c r="B310" s="8"/>
    </row>
    <row r="311" spans="2:2" x14ac:dyDescent="0.2">
      <c r="B311" s="8"/>
    </row>
    <row r="312" spans="2:2" x14ac:dyDescent="0.2">
      <c r="B312" s="8"/>
    </row>
    <row r="313" spans="2:2" x14ac:dyDescent="0.2">
      <c r="B313" s="8"/>
    </row>
    <row r="314" spans="2:2" x14ac:dyDescent="0.2">
      <c r="B314" s="8"/>
    </row>
    <row r="315" spans="2:2" x14ac:dyDescent="0.2">
      <c r="B315" s="8"/>
    </row>
    <row r="316" spans="2:2" x14ac:dyDescent="0.2">
      <c r="B316" s="8"/>
    </row>
    <row r="317" spans="2:2" x14ac:dyDescent="0.2">
      <c r="B317" s="8"/>
    </row>
    <row r="318" spans="2:2" x14ac:dyDescent="0.2">
      <c r="B318" s="8"/>
    </row>
    <row r="319" spans="2:2" x14ac:dyDescent="0.2">
      <c r="B319" s="8"/>
    </row>
    <row r="320" spans="2:2" x14ac:dyDescent="0.2">
      <c r="B320" s="8"/>
    </row>
    <row r="321" spans="2:2" x14ac:dyDescent="0.2">
      <c r="B321" s="8"/>
    </row>
    <row r="322" spans="2:2" x14ac:dyDescent="0.2">
      <c r="B322" s="8"/>
    </row>
    <row r="323" spans="2:2" x14ac:dyDescent="0.2">
      <c r="B323" s="8"/>
    </row>
    <row r="324" spans="2:2" x14ac:dyDescent="0.2">
      <c r="B324" s="8"/>
    </row>
    <row r="325" spans="2:2" x14ac:dyDescent="0.2">
      <c r="B325" s="8"/>
    </row>
    <row r="326" spans="2:2" x14ac:dyDescent="0.2">
      <c r="B326" s="8"/>
    </row>
    <row r="327" spans="2:2" x14ac:dyDescent="0.2">
      <c r="B327" s="8"/>
    </row>
    <row r="328" spans="2:2" x14ac:dyDescent="0.2">
      <c r="B328" s="8"/>
    </row>
    <row r="329" spans="2:2" x14ac:dyDescent="0.2">
      <c r="B329" s="8"/>
    </row>
    <row r="330" spans="2:2" x14ac:dyDescent="0.2">
      <c r="B330" s="8"/>
    </row>
    <row r="331" spans="2:2" x14ac:dyDescent="0.2">
      <c r="B331" s="8"/>
    </row>
    <row r="332" spans="2:2" x14ac:dyDescent="0.2">
      <c r="B332" s="8"/>
    </row>
    <row r="333" spans="2:2" x14ac:dyDescent="0.2">
      <c r="B333" s="8"/>
    </row>
    <row r="334" spans="2:2" x14ac:dyDescent="0.2">
      <c r="B334" s="8"/>
    </row>
    <row r="335" spans="2:2" x14ac:dyDescent="0.2">
      <c r="B335" s="8"/>
    </row>
    <row r="336" spans="2:2" x14ac:dyDescent="0.2">
      <c r="B336" s="8"/>
    </row>
    <row r="337" spans="2:2" x14ac:dyDescent="0.2">
      <c r="B337" s="8"/>
    </row>
    <row r="338" spans="2:2" x14ac:dyDescent="0.2">
      <c r="B338" s="8"/>
    </row>
    <row r="339" spans="2:2" x14ac:dyDescent="0.2">
      <c r="B339" s="8"/>
    </row>
    <row r="340" spans="2:2" x14ac:dyDescent="0.2">
      <c r="B340" s="8"/>
    </row>
    <row r="341" spans="2:2" x14ac:dyDescent="0.2">
      <c r="B341" s="8"/>
    </row>
    <row r="342" spans="2:2" x14ac:dyDescent="0.2">
      <c r="B342" s="8"/>
    </row>
    <row r="343" spans="2:2" x14ac:dyDescent="0.2">
      <c r="B343" s="8"/>
    </row>
    <row r="344" spans="2:2" x14ac:dyDescent="0.2">
      <c r="B344" s="8"/>
    </row>
    <row r="345" spans="2:2" x14ac:dyDescent="0.2">
      <c r="B345" s="8"/>
    </row>
    <row r="346" spans="2:2" x14ac:dyDescent="0.2">
      <c r="B346" s="8"/>
    </row>
    <row r="347" spans="2:2" x14ac:dyDescent="0.2">
      <c r="B347" s="8"/>
    </row>
    <row r="348" spans="2:2" x14ac:dyDescent="0.2">
      <c r="B348" s="8"/>
    </row>
    <row r="349" spans="2:2" x14ac:dyDescent="0.2">
      <c r="B349" s="8"/>
    </row>
    <row r="350" spans="2:2" x14ac:dyDescent="0.2">
      <c r="B350" s="8"/>
    </row>
    <row r="351" spans="2:2" x14ac:dyDescent="0.2">
      <c r="B351" s="8"/>
    </row>
    <row r="352" spans="2:2" x14ac:dyDescent="0.2">
      <c r="B352" s="8"/>
    </row>
    <row r="353" spans="2:2" x14ac:dyDescent="0.2">
      <c r="B353" s="8"/>
    </row>
    <row r="354" spans="2:2" x14ac:dyDescent="0.2">
      <c r="B354" s="8"/>
    </row>
    <row r="355" spans="2:2" x14ac:dyDescent="0.2">
      <c r="B355" s="8"/>
    </row>
    <row r="356" spans="2:2" x14ac:dyDescent="0.2">
      <c r="B356" s="8"/>
    </row>
    <row r="357" spans="2:2" x14ac:dyDescent="0.2">
      <c r="B357" s="8"/>
    </row>
    <row r="358" spans="2:2" x14ac:dyDescent="0.2">
      <c r="B358" s="8"/>
    </row>
    <row r="359" spans="2:2" x14ac:dyDescent="0.2">
      <c r="B359" s="8"/>
    </row>
    <row r="360" spans="2:2" x14ac:dyDescent="0.2">
      <c r="B360" s="8"/>
    </row>
    <row r="361" spans="2:2" x14ac:dyDescent="0.2">
      <c r="B361" s="8"/>
    </row>
    <row r="362" spans="2:2" x14ac:dyDescent="0.2">
      <c r="B362" s="8"/>
    </row>
    <row r="363" spans="2:2" x14ac:dyDescent="0.2">
      <c r="B363" s="8"/>
    </row>
    <row r="364" spans="2:2" x14ac:dyDescent="0.2">
      <c r="B364" s="8"/>
    </row>
    <row r="365" spans="2:2" x14ac:dyDescent="0.2">
      <c r="B365" s="8"/>
    </row>
    <row r="366" spans="2:2" x14ac:dyDescent="0.2">
      <c r="B366" s="8"/>
    </row>
    <row r="367" spans="2:2" x14ac:dyDescent="0.2">
      <c r="B367" s="8"/>
    </row>
    <row r="368" spans="2:2" x14ac:dyDescent="0.2">
      <c r="B368" s="8"/>
    </row>
    <row r="369" spans="2:2" x14ac:dyDescent="0.2">
      <c r="B369" s="8"/>
    </row>
    <row r="370" spans="2:2" x14ac:dyDescent="0.2">
      <c r="B370" s="8"/>
    </row>
    <row r="371" spans="2:2" x14ac:dyDescent="0.2">
      <c r="B371" s="8"/>
    </row>
    <row r="372" spans="2:2" x14ac:dyDescent="0.2">
      <c r="B372" s="8"/>
    </row>
    <row r="373" spans="2:2" x14ac:dyDescent="0.2">
      <c r="B373" s="8"/>
    </row>
    <row r="374" spans="2:2" x14ac:dyDescent="0.2">
      <c r="B374" s="8"/>
    </row>
    <row r="375" spans="2:2" x14ac:dyDescent="0.2">
      <c r="B375" s="8"/>
    </row>
    <row r="376" spans="2:2" x14ac:dyDescent="0.2">
      <c r="B376" s="8"/>
    </row>
    <row r="377" spans="2:2" x14ac:dyDescent="0.2">
      <c r="B377" s="8"/>
    </row>
    <row r="378" spans="2:2" x14ac:dyDescent="0.2">
      <c r="B378" s="8"/>
    </row>
    <row r="379" spans="2:2" x14ac:dyDescent="0.2">
      <c r="B379" s="8"/>
    </row>
    <row r="380" spans="2:2" x14ac:dyDescent="0.2">
      <c r="B380" s="8"/>
    </row>
    <row r="381" spans="2:2" x14ac:dyDescent="0.2">
      <c r="B381" s="8"/>
    </row>
    <row r="382" spans="2:2" x14ac:dyDescent="0.2">
      <c r="B382" s="8"/>
    </row>
    <row r="383" spans="2:2" x14ac:dyDescent="0.2">
      <c r="B383" s="8"/>
    </row>
    <row r="384" spans="2:2" x14ac:dyDescent="0.2">
      <c r="B384" s="8"/>
    </row>
  </sheetData>
  <sheetProtection formatCells="0" formatRows="0" insertRows="0" insertHyperlinks="0" deleteRows="0" selectLockedCells="1"/>
  <mergeCells count="62">
    <mergeCell ref="N63:P63"/>
    <mergeCell ref="N61:P61"/>
    <mergeCell ref="N57:P57"/>
    <mergeCell ref="B55:P55"/>
    <mergeCell ref="N62:P62"/>
    <mergeCell ref="J31:P31"/>
    <mergeCell ref="J35:P35"/>
    <mergeCell ref="N59:P59"/>
    <mergeCell ref="N58:P58"/>
    <mergeCell ref="J37:P37"/>
    <mergeCell ref="J38:P38"/>
    <mergeCell ref="J42:P42"/>
    <mergeCell ref="J44:P44"/>
    <mergeCell ref="J47:P47"/>
    <mergeCell ref="J48:P48"/>
    <mergeCell ref="J34:P34"/>
    <mergeCell ref="J32:P32"/>
    <mergeCell ref="J45:P45"/>
    <mergeCell ref="J46:P46"/>
    <mergeCell ref="B17:C17"/>
    <mergeCell ref="D17:E17"/>
    <mergeCell ref="B20:P20"/>
    <mergeCell ref="J22:P22"/>
    <mergeCell ref="J29:P29"/>
    <mergeCell ref="J24:P24"/>
    <mergeCell ref="J23:P23"/>
    <mergeCell ref="J26:P26"/>
    <mergeCell ref="J27:P27"/>
    <mergeCell ref="B1:Q1"/>
    <mergeCell ref="B2:Q2"/>
    <mergeCell ref="B4:C4"/>
    <mergeCell ref="B5:C5"/>
    <mergeCell ref="G5:J5"/>
    <mergeCell ref="B6:C6"/>
    <mergeCell ref="D6:O6"/>
    <mergeCell ref="B8:P8"/>
    <mergeCell ref="B10:C10"/>
    <mergeCell ref="D10:E10"/>
    <mergeCell ref="B11:C11"/>
    <mergeCell ref="D11:E11"/>
    <mergeCell ref="B13:C13"/>
    <mergeCell ref="D13:E13"/>
    <mergeCell ref="G13:O16"/>
    <mergeCell ref="B14:C14"/>
    <mergeCell ref="D14:E14"/>
    <mergeCell ref="B15:C15"/>
    <mergeCell ref="D15:E15"/>
    <mergeCell ref="B16:C16"/>
    <mergeCell ref="D16:E16"/>
    <mergeCell ref="B12:C12"/>
    <mergeCell ref="D12:E12"/>
    <mergeCell ref="N64:P64"/>
    <mergeCell ref="N65:P65"/>
    <mergeCell ref="N78:P78"/>
    <mergeCell ref="N73:P73"/>
    <mergeCell ref="N72:P72"/>
    <mergeCell ref="N68:P68"/>
    <mergeCell ref="B70:P70"/>
    <mergeCell ref="N76:P76"/>
    <mergeCell ref="N66:P66"/>
    <mergeCell ref="N67:P67"/>
    <mergeCell ref="N77:P77"/>
  </mergeCells>
  <conditionalFormatting sqref="H73:H78 H58:H64">
    <cfRule type="cellIs" dxfId="5" priority="9" stopIfTrue="1" operator="equal">
      <formula>0</formula>
    </cfRule>
  </conditionalFormatting>
  <conditionalFormatting sqref="G73:G78 G58:G67 I58:I67">
    <cfRule type="cellIs" dxfId="4" priority="8" stopIfTrue="1" operator="equal">
      <formula>1</formula>
    </cfRule>
  </conditionalFormatting>
  <conditionalFormatting sqref="H65:H67">
    <cfRule type="cellIs" dxfId="3" priority="2" stopIfTrue="1" operator="equal">
      <formula>0</formula>
    </cfRule>
  </conditionalFormatting>
  <conditionalFormatting sqref="G65:G67 I65:I67">
    <cfRule type="cellIs" dxfId="2" priority="1" stopIfTrue="1" operator="equal">
      <formula>1</formula>
    </cfRule>
  </conditionalFormatting>
  <dataValidations count="7">
    <dataValidation type="list" allowBlank="1" showInputMessage="1" showErrorMessage="1" sqref="D65542:E65542 WVL983046:WVM983046 WLP983046:WLQ983046 WBT983046:WBU983046 VRX983046:VRY983046 VIB983046:VIC983046 UYF983046:UYG983046 UOJ983046:UOK983046 UEN983046:UEO983046 TUR983046:TUS983046 TKV983046:TKW983046 TAZ983046:TBA983046 SRD983046:SRE983046 SHH983046:SHI983046 RXL983046:RXM983046 RNP983046:RNQ983046 RDT983046:RDU983046 QTX983046:QTY983046 QKB983046:QKC983046 QAF983046:QAG983046 PQJ983046:PQK983046 PGN983046:PGO983046 OWR983046:OWS983046 OMV983046:OMW983046 OCZ983046:ODA983046 NTD983046:NTE983046 NJH983046:NJI983046 MZL983046:MZM983046 MPP983046:MPQ983046 MFT983046:MFU983046 LVX983046:LVY983046 LMB983046:LMC983046 LCF983046:LCG983046 KSJ983046:KSK983046 KIN983046:KIO983046 JYR983046:JYS983046 JOV983046:JOW983046 JEZ983046:JFA983046 IVD983046:IVE983046 ILH983046:ILI983046 IBL983046:IBM983046 HRP983046:HRQ983046 HHT983046:HHU983046 GXX983046:GXY983046 GOB983046:GOC983046 GEF983046:GEG983046 FUJ983046:FUK983046 FKN983046:FKO983046 FAR983046:FAS983046 EQV983046:EQW983046 EGZ983046:EHA983046 DXD983046:DXE983046 DNH983046:DNI983046 DDL983046:DDM983046 CTP983046:CTQ983046 CJT983046:CJU983046 BZX983046:BZY983046 BQB983046:BQC983046 BGF983046:BGG983046 AWJ983046:AWK983046 AMN983046:AMO983046 ACR983046:ACS983046 SV983046:SW983046 IZ983046:JA983046 D983046:E983046 WVL917510:WVM917510 WLP917510:WLQ917510 WBT917510:WBU917510 VRX917510:VRY917510 VIB917510:VIC917510 UYF917510:UYG917510 UOJ917510:UOK917510 UEN917510:UEO917510 TUR917510:TUS917510 TKV917510:TKW917510 TAZ917510:TBA917510 SRD917510:SRE917510 SHH917510:SHI917510 RXL917510:RXM917510 RNP917510:RNQ917510 RDT917510:RDU917510 QTX917510:QTY917510 QKB917510:QKC917510 QAF917510:QAG917510 PQJ917510:PQK917510 PGN917510:PGO917510 OWR917510:OWS917510 OMV917510:OMW917510 OCZ917510:ODA917510 NTD917510:NTE917510 NJH917510:NJI917510 MZL917510:MZM917510 MPP917510:MPQ917510 MFT917510:MFU917510 LVX917510:LVY917510 LMB917510:LMC917510 LCF917510:LCG917510 KSJ917510:KSK917510 KIN917510:KIO917510 JYR917510:JYS917510 JOV917510:JOW917510 JEZ917510:JFA917510 IVD917510:IVE917510 ILH917510:ILI917510 IBL917510:IBM917510 HRP917510:HRQ917510 HHT917510:HHU917510 GXX917510:GXY917510 GOB917510:GOC917510 GEF917510:GEG917510 FUJ917510:FUK917510 FKN917510:FKO917510 FAR917510:FAS917510 EQV917510:EQW917510 EGZ917510:EHA917510 DXD917510:DXE917510 DNH917510:DNI917510 DDL917510:DDM917510 CTP917510:CTQ917510 CJT917510:CJU917510 BZX917510:BZY917510 BQB917510:BQC917510 BGF917510:BGG917510 AWJ917510:AWK917510 AMN917510:AMO917510 ACR917510:ACS917510 SV917510:SW917510 IZ917510:JA917510 D917510:E917510 WVL851974:WVM851974 WLP851974:WLQ851974 WBT851974:WBU851974 VRX851974:VRY851974 VIB851974:VIC851974 UYF851974:UYG851974 UOJ851974:UOK851974 UEN851974:UEO851974 TUR851974:TUS851974 TKV851974:TKW851974 TAZ851974:TBA851974 SRD851974:SRE851974 SHH851974:SHI851974 RXL851974:RXM851974 RNP851974:RNQ851974 RDT851974:RDU851974 QTX851974:QTY851974 QKB851974:QKC851974 QAF851974:QAG851974 PQJ851974:PQK851974 PGN851974:PGO851974 OWR851974:OWS851974 OMV851974:OMW851974 OCZ851974:ODA851974 NTD851974:NTE851974 NJH851974:NJI851974 MZL851974:MZM851974 MPP851974:MPQ851974 MFT851974:MFU851974 LVX851974:LVY851974 LMB851974:LMC851974 LCF851974:LCG851974 KSJ851974:KSK851974 KIN851974:KIO851974 JYR851974:JYS851974 JOV851974:JOW851974 JEZ851974:JFA851974 IVD851974:IVE851974 ILH851974:ILI851974 IBL851974:IBM851974 HRP851974:HRQ851974 HHT851974:HHU851974 GXX851974:GXY851974 GOB851974:GOC851974 GEF851974:GEG851974 FUJ851974:FUK851974 FKN851974:FKO851974 FAR851974:FAS851974 EQV851974:EQW851974 EGZ851974:EHA851974 DXD851974:DXE851974 DNH851974:DNI851974 DDL851974:DDM851974 CTP851974:CTQ851974 CJT851974:CJU851974 BZX851974:BZY851974 BQB851974:BQC851974 BGF851974:BGG851974 AWJ851974:AWK851974 AMN851974:AMO851974 ACR851974:ACS851974 SV851974:SW851974 IZ851974:JA851974 D851974:E851974 WVL786438:WVM786438 WLP786438:WLQ786438 WBT786438:WBU786438 VRX786438:VRY786438 VIB786438:VIC786438 UYF786438:UYG786438 UOJ786438:UOK786438 UEN786438:UEO786438 TUR786438:TUS786438 TKV786438:TKW786438 TAZ786438:TBA786438 SRD786438:SRE786438 SHH786438:SHI786438 RXL786438:RXM786438 RNP786438:RNQ786438 RDT786438:RDU786438 QTX786438:QTY786438 QKB786438:QKC786438 QAF786438:QAG786438 PQJ786438:PQK786438 PGN786438:PGO786438 OWR786438:OWS786438 OMV786438:OMW786438 OCZ786438:ODA786438 NTD786438:NTE786438 NJH786438:NJI786438 MZL786438:MZM786438 MPP786438:MPQ786438 MFT786438:MFU786438 LVX786438:LVY786438 LMB786438:LMC786438 LCF786438:LCG786438 KSJ786438:KSK786438 KIN786438:KIO786438 JYR786438:JYS786438 JOV786438:JOW786438 JEZ786438:JFA786438 IVD786438:IVE786438 ILH786438:ILI786438 IBL786438:IBM786438 HRP786438:HRQ786438 HHT786438:HHU786438 GXX786438:GXY786438 GOB786438:GOC786438 GEF786438:GEG786438 FUJ786438:FUK786438 FKN786438:FKO786438 FAR786438:FAS786438 EQV786438:EQW786438 EGZ786438:EHA786438 DXD786438:DXE786438 DNH786438:DNI786438 DDL786438:DDM786438 CTP786438:CTQ786438 CJT786438:CJU786438 BZX786438:BZY786438 BQB786438:BQC786438 BGF786438:BGG786438 AWJ786438:AWK786438 AMN786438:AMO786438 ACR786438:ACS786438 SV786438:SW786438 IZ786438:JA786438 D786438:E786438 WVL720902:WVM720902 WLP720902:WLQ720902 WBT720902:WBU720902 VRX720902:VRY720902 VIB720902:VIC720902 UYF720902:UYG720902 UOJ720902:UOK720902 UEN720902:UEO720902 TUR720902:TUS720902 TKV720902:TKW720902 TAZ720902:TBA720902 SRD720902:SRE720902 SHH720902:SHI720902 RXL720902:RXM720902 RNP720902:RNQ720902 RDT720902:RDU720902 QTX720902:QTY720902 QKB720902:QKC720902 QAF720902:QAG720902 PQJ720902:PQK720902 PGN720902:PGO720902 OWR720902:OWS720902 OMV720902:OMW720902 OCZ720902:ODA720902 NTD720902:NTE720902 NJH720902:NJI720902 MZL720902:MZM720902 MPP720902:MPQ720902 MFT720902:MFU720902 LVX720902:LVY720902 LMB720902:LMC720902 LCF720902:LCG720902 KSJ720902:KSK720902 KIN720902:KIO720902 JYR720902:JYS720902 JOV720902:JOW720902 JEZ720902:JFA720902 IVD720902:IVE720902 ILH720902:ILI720902 IBL720902:IBM720902 HRP720902:HRQ720902 HHT720902:HHU720902 GXX720902:GXY720902 GOB720902:GOC720902 GEF720902:GEG720902 FUJ720902:FUK720902 FKN720902:FKO720902 FAR720902:FAS720902 EQV720902:EQW720902 EGZ720902:EHA720902 DXD720902:DXE720902 DNH720902:DNI720902 DDL720902:DDM720902 CTP720902:CTQ720902 CJT720902:CJU720902 BZX720902:BZY720902 BQB720902:BQC720902 BGF720902:BGG720902 AWJ720902:AWK720902 AMN720902:AMO720902 ACR720902:ACS720902 SV720902:SW720902 IZ720902:JA720902 D720902:E720902 WVL655366:WVM655366 WLP655366:WLQ655366 WBT655366:WBU655366 VRX655366:VRY655366 VIB655366:VIC655366 UYF655366:UYG655366 UOJ655366:UOK655366 UEN655366:UEO655366 TUR655366:TUS655366 TKV655366:TKW655366 TAZ655366:TBA655366 SRD655366:SRE655366 SHH655366:SHI655366 RXL655366:RXM655366 RNP655366:RNQ655366 RDT655366:RDU655366 QTX655366:QTY655366 QKB655366:QKC655366 QAF655366:QAG655366 PQJ655366:PQK655366 PGN655366:PGO655366 OWR655366:OWS655366 OMV655366:OMW655366 OCZ655366:ODA655366 NTD655366:NTE655366 NJH655366:NJI655366 MZL655366:MZM655366 MPP655366:MPQ655366 MFT655366:MFU655366 LVX655366:LVY655366 LMB655366:LMC655366 LCF655366:LCG655366 KSJ655366:KSK655366 KIN655366:KIO655366 JYR655366:JYS655366 JOV655366:JOW655366 JEZ655366:JFA655366 IVD655366:IVE655366 ILH655366:ILI655366 IBL655366:IBM655366 HRP655366:HRQ655366 HHT655366:HHU655366 GXX655366:GXY655366 GOB655366:GOC655366 GEF655366:GEG655366 FUJ655366:FUK655366 FKN655366:FKO655366 FAR655366:FAS655366 EQV655366:EQW655366 EGZ655366:EHA655366 DXD655366:DXE655366 DNH655366:DNI655366 DDL655366:DDM655366 CTP655366:CTQ655366 CJT655366:CJU655366 BZX655366:BZY655366 BQB655366:BQC655366 BGF655366:BGG655366 AWJ655366:AWK655366 AMN655366:AMO655366 ACR655366:ACS655366 SV655366:SW655366 IZ655366:JA655366 D655366:E655366 WVL589830:WVM589830 WLP589830:WLQ589830 WBT589830:WBU589830 VRX589830:VRY589830 VIB589830:VIC589830 UYF589830:UYG589830 UOJ589830:UOK589830 UEN589830:UEO589830 TUR589830:TUS589830 TKV589830:TKW589830 TAZ589830:TBA589830 SRD589830:SRE589830 SHH589830:SHI589830 RXL589830:RXM589830 RNP589830:RNQ589830 RDT589830:RDU589830 QTX589830:QTY589830 QKB589830:QKC589830 QAF589830:QAG589830 PQJ589830:PQK589830 PGN589830:PGO589830 OWR589830:OWS589830 OMV589830:OMW589830 OCZ589830:ODA589830 NTD589830:NTE589830 NJH589830:NJI589830 MZL589830:MZM589830 MPP589830:MPQ589830 MFT589830:MFU589830 LVX589830:LVY589830 LMB589830:LMC589830 LCF589830:LCG589830 KSJ589830:KSK589830 KIN589830:KIO589830 JYR589830:JYS589830 JOV589830:JOW589830 JEZ589830:JFA589830 IVD589830:IVE589830 ILH589830:ILI589830 IBL589830:IBM589830 HRP589830:HRQ589830 HHT589830:HHU589830 GXX589830:GXY589830 GOB589830:GOC589830 GEF589830:GEG589830 FUJ589830:FUK589830 FKN589830:FKO589830 FAR589830:FAS589830 EQV589830:EQW589830 EGZ589830:EHA589830 DXD589830:DXE589830 DNH589830:DNI589830 DDL589830:DDM589830 CTP589830:CTQ589830 CJT589830:CJU589830 BZX589830:BZY589830 BQB589830:BQC589830 BGF589830:BGG589830 AWJ589830:AWK589830 AMN589830:AMO589830 ACR589830:ACS589830 SV589830:SW589830 IZ589830:JA589830 D589830:E589830 WVL524294:WVM524294 WLP524294:WLQ524294 WBT524294:WBU524294 VRX524294:VRY524294 VIB524294:VIC524294 UYF524294:UYG524294 UOJ524294:UOK524294 UEN524294:UEO524294 TUR524294:TUS524294 TKV524294:TKW524294 TAZ524294:TBA524294 SRD524294:SRE524294 SHH524294:SHI524294 RXL524294:RXM524294 RNP524294:RNQ524294 RDT524294:RDU524294 QTX524294:QTY524294 QKB524294:QKC524294 QAF524294:QAG524294 PQJ524294:PQK524294 PGN524294:PGO524294 OWR524294:OWS524294 OMV524294:OMW524294 OCZ524294:ODA524294 NTD524294:NTE524294 NJH524294:NJI524294 MZL524294:MZM524294 MPP524294:MPQ524294 MFT524294:MFU524294 LVX524294:LVY524294 LMB524294:LMC524294 LCF524294:LCG524294 KSJ524294:KSK524294 KIN524294:KIO524294 JYR524294:JYS524294 JOV524294:JOW524294 JEZ524294:JFA524294 IVD524294:IVE524294 ILH524294:ILI524294 IBL524294:IBM524294 HRP524294:HRQ524294 HHT524294:HHU524294 GXX524294:GXY524294 GOB524294:GOC524294 GEF524294:GEG524294 FUJ524294:FUK524294 FKN524294:FKO524294 FAR524294:FAS524294 EQV524294:EQW524294 EGZ524294:EHA524294 DXD524294:DXE524294 DNH524294:DNI524294 DDL524294:DDM524294 CTP524294:CTQ524294 CJT524294:CJU524294 BZX524294:BZY524294 BQB524294:BQC524294 BGF524294:BGG524294 AWJ524294:AWK524294 AMN524294:AMO524294 ACR524294:ACS524294 SV524294:SW524294 IZ524294:JA524294 D524294:E524294 WVL458758:WVM458758 WLP458758:WLQ458758 WBT458758:WBU458758 VRX458758:VRY458758 VIB458758:VIC458758 UYF458758:UYG458758 UOJ458758:UOK458758 UEN458758:UEO458758 TUR458758:TUS458758 TKV458758:TKW458758 TAZ458758:TBA458758 SRD458758:SRE458758 SHH458758:SHI458758 RXL458758:RXM458758 RNP458758:RNQ458758 RDT458758:RDU458758 QTX458758:QTY458758 QKB458758:QKC458758 QAF458758:QAG458758 PQJ458758:PQK458758 PGN458758:PGO458758 OWR458758:OWS458758 OMV458758:OMW458758 OCZ458758:ODA458758 NTD458758:NTE458758 NJH458758:NJI458758 MZL458758:MZM458758 MPP458758:MPQ458758 MFT458758:MFU458758 LVX458758:LVY458758 LMB458758:LMC458758 LCF458758:LCG458758 KSJ458758:KSK458758 KIN458758:KIO458758 JYR458758:JYS458758 JOV458758:JOW458758 JEZ458758:JFA458758 IVD458758:IVE458758 ILH458758:ILI458758 IBL458758:IBM458758 HRP458758:HRQ458758 HHT458758:HHU458758 GXX458758:GXY458758 GOB458758:GOC458758 GEF458758:GEG458758 FUJ458758:FUK458758 FKN458758:FKO458758 FAR458758:FAS458758 EQV458758:EQW458758 EGZ458758:EHA458758 DXD458758:DXE458758 DNH458758:DNI458758 DDL458758:DDM458758 CTP458758:CTQ458758 CJT458758:CJU458758 BZX458758:BZY458758 BQB458758:BQC458758 BGF458758:BGG458758 AWJ458758:AWK458758 AMN458758:AMO458758 ACR458758:ACS458758 SV458758:SW458758 IZ458758:JA458758 D458758:E458758 WVL393222:WVM393222 WLP393222:WLQ393222 WBT393222:WBU393222 VRX393222:VRY393222 VIB393222:VIC393222 UYF393222:UYG393222 UOJ393222:UOK393222 UEN393222:UEO393222 TUR393222:TUS393222 TKV393222:TKW393222 TAZ393222:TBA393222 SRD393222:SRE393222 SHH393222:SHI393222 RXL393222:RXM393222 RNP393222:RNQ393222 RDT393222:RDU393222 QTX393222:QTY393222 QKB393222:QKC393222 QAF393222:QAG393222 PQJ393222:PQK393222 PGN393222:PGO393222 OWR393222:OWS393222 OMV393222:OMW393222 OCZ393222:ODA393222 NTD393222:NTE393222 NJH393222:NJI393222 MZL393222:MZM393222 MPP393222:MPQ393222 MFT393222:MFU393222 LVX393222:LVY393222 LMB393222:LMC393222 LCF393222:LCG393222 KSJ393222:KSK393222 KIN393222:KIO393222 JYR393222:JYS393222 JOV393222:JOW393222 JEZ393222:JFA393222 IVD393222:IVE393222 ILH393222:ILI393222 IBL393222:IBM393222 HRP393222:HRQ393222 HHT393222:HHU393222 GXX393222:GXY393222 GOB393222:GOC393222 GEF393222:GEG393222 FUJ393222:FUK393222 FKN393222:FKO393222 FAR393222:FAS393222 EQV393222:EQW393222 EGZ393222:EHA393222 DXD393222:DXE393222 DNH393222:DNI393222 DDL393222:DDM393222 CTP393222:CTQ393222 CJT393222:CJU393222 BZX393222:BZY393222 BQB393222:BQC393222 BGF393222:BGG393222 AWJ393222:AWK393222 AMN393222:AMO393222 ACR393222:ACS393222 SV393222:SW393222 IZ393222:JA393222 D393222:E393222 WVL327686:WVM327686 WLP327686:WLQ327686 WBT327686:WBU327686 VRX327686:VRY327686 VIB327686:VIC327686 UYF327686:UYG327686 UOJ327686:UOK327686 UEN327686:UEO327686 TUR327686:TUS327686 TKV327686:TKW327686 TAZ327686:TBA327686 SRD327686:SRE327686 SHH327686:SHI327686 RXL327686:RXM327686 RNP327686:RNQ327686 RDT327686:RDU327686 QTX327686:QTY327686 QKB327686:QKC327686 QAF327686:QAG327686 PQJ327686:PQK327686 PGN327686:PGO327686 OWR327686:OWS327686 OMV327686:OMW327686 OCZ327686:ODA327686 NTD327686:NTE327686 NJH327686:NJI327686 MZL327686:MZM327686 MPP327686:MPQ327686 MFT327686:MFU327686 LVX327686:LVY327686 LMB327686:LMC327686 LCF327686:LCG327686 KSJ327686:KSK327686 KIN327686:KIO327686 JYR327686:JYS327686 JOV327686:JOW327686 JEZ327686:JFA327686 IVD327686:IVE327686 ILH327686:ILI327686 IBL327686:IBM327686 HRP327686:HRQ327686 HHT327686:HHU327686 GXX327686:GXY327686 GOB327686:GOC327686 GEF327686:GEG327686 FUJ327686:FUK327686 FKN327686:FKO327686 FAR327686:FAS327686 EQV327686:EQW327686 EGZ327686:EHA327686 DXD327686:DXE327686 DNH327686:DNI327686 DDL327686:DDM327686 CTP327686:CTQ327686 CJT327686:CJU327686 BZX327686:BZY327686 BQB327686:BQC327686 BGF327686:BGG327686 AWJ327686:AWK327686 AMN327686:AMO327686 ACR327686:ACS327686 SV327686:SW327686 IZ327686:JA327686 D327686:E327686 WVL262150:WVM262150 WLP262150:WLQ262150 WBT262150:WBU262150 VRX262150:VRY262150 VIB262150:VIC262150 UYF262150:UYG262150 UOJ262150:UOK262150 UEN262150:UEO262150 TUR262150:TUS262150 TKV262150:TKW262150 TAZ262150:TBA262150 SRD262150:SRE262150 SHH262150:SHI262150 RXL262150:RXM262150 RNP262150:RNQ262150 RDT262150:RDU262150 QTX262150:QTY262150 QKB262150:QKC262150 QAF262150:QAG262150 PQJ262150:PQK262150 PGN262150:PGO262150 OWR262150:OWS262150 OMV262150:OMW262150 OCZ262150:ODA262150 NTD262150:NTE262150 NJH262150:NJI262150 MZL262150:MZM262150 MPP262150:MPQ262150 MFT262150:MFU262150 LVX262150:LVY262150 LMB262150:LMC262150 LCF262150:LCG262150 KSJ262150:KSK262150 KIN262150:KIO262150 JYR262150:JYS262150 JOV262150:JOW262150 JEZ262150:JFA262150 IVD262150:IVE262150 ILH262150:ILI262150 IBL262150:IBM262150 HRP262150:HRQ262150 HHT262150:HHU262150 GXX262150:GXY262150 GOB262150:GOC262150 GEF262150:GEG262150 FUJ262150:FUK262150 FKN262150:FKO262150 FAR262150:FAS262150 EQV262150:EQW262150 EGZ262150:EHA262150 DXD262150:DXE262150 DNH262150:DNI262150 DDL262150:DDM262150 CTP262150:CTQ262150 CJT262150:CJU262150 BZX262150:BZY262150 BQB262150:BQC262150 BGF262150:BGG262150 AWJ262150:AWK262150 AMN262150:AMO262150 ACR262150:ACS262150 SV262150:SW262150 IZ262150:JA262150 D262150:E262150 WVL196614:WVM196614 WLP196614:WLQ196614 WBT196614:WBU196614 VRX196614:VRY196614 VIB196614:VIC196614 UYF196614:UYG196614 UOJ196614:UOK196614 UEN196614:UEO196614 TUR196614:TUS196614 TKV196614:TKW196614 TAZ196614:TBA196614 SRD196614:SRE196614 SHH196614:SHI196614 RXL196614:RXM196614 RNP196614:RNQ196614 RDT196614:RDU196614 QTX196614:QTY196614 QKB196614:QKC196614 QAF196614:QAG196614 PQJ196614:PQK196614 PGN196614:PGO196614 OWR196614:OWS196614 OMV196614:OMW196614 OCZ196614:ODA196614 NTD196614:NTE196614 NJH196614:NJI196614 MZL196614:MZM196614 MPP196614:MPQ196614 MFT196614:MFU196614 LVX196614:LVY196614 LMB196614:LMC196614 LCF196614:LCG196614 KSJ196614:KSK196614 KIN196614:KIO196614 JYR196614:JYS196614 JOV196614:JOW196614 JEZ196614:JFA196614 IVD196614:IVE196614 ILH196614:ILI196614 IBL196614:IBM196614 HRP196614:HRQ196614 HHT196614:HHU196614 GXX196614:GXY196614 GOB196614:GOC196614 GEF196614:GEG196614 FUJ196614:FUK196614 FKN196614:FKO196614 FAR196614:FAS196614 EQV196614:EQW196614 EGZ196614:EHA196614 DXD196614:DXE196614 DNH196614:DNI196614 DDL196614:DDM196614 CTP196614:CTQ196614 CJT196614:CJU196614 BZX196614:BZY196614 BQB196614:BQC196614 BGF196614:BGG196614 AWJ196614:AWK196614 AMN196614:AMO196614 ACR196614:ACS196614 SV196614:SW196614 IZ196614:JA196614 D196614:E196614 WVL131078:WVM131078 WLP131078:WLQ131078 WBT131078:WBU131078 VRX131078:VRY131078 VIB131078:VIC131078 UYF131078:UYG131078 UOJ131078:UOK131078 UEN131078:UEO131078 TUR131078:TUS131078 TKV131078:TKW131078 TAZ131078:TBA131078 SRD131078:SRE131078 SHH131078:SHI131078 RXL131078:RXM131078 RNP131078:RNQ131078 RDT131078:RDU131078 QTX131078:QTY131078 QKB131078:QKC131078 QAF131078:QAG131078 PQJ131078:PQK131078 PGN131078:PGO131078 OWR131078:OWS131078 OMV131078:OMW131078 OCZ131078:ODA131078 NTD131078:NTE131078 NJH131078:NJI131078 MZL131078:MZM131078 MPP131078:MPQ131078 MFT131078:MFU131078 LVX131078:LVY131078 LMB131078:LMC131078 LCF131078:LCG131078 KSJ131078:KSK131078 KIN131078:KIO131078 JYR131078:JYS131078 JOV131078:JOW131078 JEZ131078:JFA131078 IVD131078:IVE131078 ILH131078:ILI131078 IBL131078:IBM131078 HRP131078:HRQ131078 HHT131078:HHU131078 GXX131078:GXY131078 GOB131078:GOC131078 GEF131078:GEG131078 FUJ131078:FUK131078 FKN131078:FKO131078 FAR131078:FAS131078 EQV131078:EQW131078 EGZ131078:EHA131078 DXD131078:DXE131078 DNH131078:DNI131078 DDL131078:DDM131078 CTP131078:CTQ131078 CJT131078:CJU131078 BZX131078:BZY131078 BQB131078:BQC131078 BGF131078:BGG131078 AWJ131078:AWK131078 AMN131078:AMO131078 ACR131078:ACS131078 SV131078:SW131078 IZ131078:JA131078 D131078:E131078 WVL65542:WVM65542 WLP65542:WLQ65542 WBT65542:WBU65542 VRX65542:VRY65542 VIB65542:VIC65542 UYF65542:UYG65542 UOJ65542:UOK65542 UEN65542:UEO65542 TUR65542:TUS65542 TKV65542:TKW65542 TAZ65542:TBA65542 SRD65542:SRE65542 SHH65542:SHI65542 RXL65542:RXM65542 RNP65542:RNQ65542 RDT65542:RDU65542 QTX65542:QTY65542 QKB65542:QKC65542 QAF65542:QAG65542 PQJ65542:PQK65542 PGN65542:PGO65542 OWR65542:OWS65542 OMV65542:OMW65542 OCZ65542:ODA65542 NTD65542:NTE65542 NJH65542:NJI65542 MZL65542:MZM65542 MPP65542:MPQ65542 MFT65542:MFU65542 LVX65542:LVY65542 LMB65542:LMC65542 LCF65542:LCG65542 KSJ65542:KSK65542 KIN65542:KIO65542 JYR65542:JYS65542 JOV65542:JOW65542 JEZ65542:JFA65542 IVD65542:IVE65542 ILH65542:ILI65542 IBL65542:IBM65542 HRP65542:HRQ65542 HHT65542:HHU65542 GXX65542:GXY65542 GOB65542:GOC65542 GEF65542:GEG65542 FUJ65542:FUK65542 FKN65542:FKO65542 FAR65542:FAS65542 EQV65542:EQW65542 EGZ65542:EHA65542 DXD65542:DXE65542 DNH65542:DNI65542 DDL65542:DDM65542 CTP65542:CTQ65542 CJT65542:CJU65542 BZX65542:BZY65542 BQB65542:BQC65542 BGF65542:BGG65542 AWJ65542:AWK65542 AMN65542:AMO65542 ACR65542:ACS65542 SV65542:SW65542 IZ65542:JA65542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D16:E16">
      <formula1>$E$136:$E$141</formula1>
    </dataValidation>
    <dataValidation type="list" allowBlank="1" showInputMessage="1" showErrorMessage="1" sqref="D65540:E65540 WVL983044:WVM983044 WLP983044:WLQ983044 WBT983044:WBU983044 VRX983044:VRY983044 VIB983044:VIC983044 UYF983044:UYG983044 UOJ983044:UOK983044 UEN983044:UEO983044 TUR983044:TUS983044 TKV983044:TKW983044 TAZ983044:TBA983044 SRD983044:SRE983044 SHH983044:SHI983044 RXL983044:RXM983044 RNP983044:RNQ983044 RDT983044:RDU983044 QTX983044:QTY983044 QKB983044:QKC983044 QAF983044:QAG983044 PQJ983044:PQK983044 PGN983044:PGO983044 OWR983044:OWS983044 OMV983044:OMW983044 OCZ983044:ODA983044 NTD983044:NTE983044 NJH983044:NJI983044 MZL983044:MZM983044 MPP983044:MPQ983044 MFT983044:MFU983044 LVX983044:LVY983044 LMB983044:LMC983044 LCF983044:LCG983044 KSJ983044:KSK983044 KIN983044:KIO983044 JYR983044:JYS983044 JOV983044:JOW983044 JEZ983044:JFA983044 IVD983044:IVE983044 ILH983044:ILI983044 IBL983044:IBM983044 HRP983044:HRQ983044 HHT983044:HHU983044 GXX983044:GXY983044 GOB983044:GOC983044 GEF983044:GEG983044 FUJ983044:FUK983044 FKN983044:FKO983044 FAR983044:FAS983044 EQV983044:EQW983044 EGZ983044:EHA983044 DXD983044:DXE983044 DNH983044:DNI983044 DDL983044:DDM983044 CTP983044:CTQ983044 CJT983044:CJU983044 BZX983044:BZY983044 BQB983044:BQC983044 BGF983044:BGG983044 AWJ983044:AWK983044 AMN983044:AMO983044 ACR983044:ACS983044 SV983044:SW983044 IZ983044:JA983044 D983044:E983044 WVL917508:WVM917508 WLP917508:WLQ917508 WBT917508:WBU917508 VRX917508:VRY917508 VIB917508:VIC917508 UYF917508:UYG917508 UOJ917508:UOK917508 UEN917508:UEO917508 TUR917508:TUS917508 TKV917508:TKW917508 TAZ917508:TBA917508 SRD917508:SRE917508 SHH917508:SHI917508 RXL917508:RXM917508 RNP917508:RNQ917508 RDT917508:RDU917508 QTX917508:QTY917508 QKB917508:QKC917508 QAF917508:QAG917508 PQJ917508:PQK917508 PGN917508:PGO917508 OWR917508:OWS917508 OMV917508:OMW917508 OCZ917508:ODA917508 NTD917508:NTE917508 NJH917508:NJI917508 MZL917508:MZM917508 MPP917508:MPQ917508 MFT917508:MFU917508 LVX917508:LVY917508 LMB917508:LMC917508 LCF917508:LCG917508 KSJ917508:KSK917508 KIN917508:KIO917508 JYR917508:JYS917508 JOV917508:JOW917508 JEZ917508:JFA917508 IVD917508:IVE917508 ILH917508:ILI917508 IBL917508:IBM917508 HRP917508:HRQ917508 HHT917508:HHU917508 GXX917508:GXY917508 GOB917508:GOC917508 GEF917508:GEG917508 FUJ917508:FUK917508 FKN917508:FKO917508 FAR917508:FAS917508 EQV917508:EQW917508 EGZ917508:EHA917508 DXD917508:DXE917508 DNH917508:DNI917508 DDL917508:DDM917508 CTP917508:CTQ917508 CJT917508:CJU917508 BZX917508:BZY917508 BQB917508:BQC917508 BGF917508:BGG917508 AWJ917508:AWK917508 AMN917508:AMO917508 ACR917508:ACS917508 SV917508:SW917508 IZ917508:JA917508 D917508:E917508 WVL851972:WVM851972 WLP851972:WLQ851972 WBT851972:WBU851972 VRX851972:VRY851972 VIB851972:VIC851972 UYF851972:UYG851972 UOJ851972:UOK851972 UEN851972:UEO851972 TUR851972:TUS851972 TKV851972:TKW851972 TAZ851972:TBA851972 SRD851972:SRE851972 SHH851972:SHI851972 RXL851972:RXM851972 RNP851972:RNQ851972 RDT851972:RDU851972 QTX851972:QTY851972 QKB851972:QKC851972 QAF851972:QAG851972 PQJ851972:PQK851972 PGN851972:PGO851972 OWR851972:OWS851972 OMV851972:OMW851972 OCZ851972:ODA851972 NTD851972:NTE851972 NJH851972:NJI851972 MZL851972:MZM851972 MPP851972:MPQ851972 MFT851972:MFU851972 LVX851972:LVY851972 LMB851972:LMC851972 LCF851972:LCG851972 KSJ851972:KSK851972 KIN851972:KIO851972 JYR851972:JYS851972 JOV851972:JOW851972 JEZ851972:JFA851972 IVD851972:IVE851972 ILH851972:ILI851972 IBL851972:IBM851972 HRP851972:HRQ851972 HHT851972:HHU851972 GXX851972:GXY851972 GOB851972:GOC851972 GEF851972:GEG851972 FUJ851972:FUK851972 FKN851972:FKO851972 FAR851972:FAS851972 EQV851972:EQW851972 EGZ851972:EHA851972 DXD851972:DXE851972 DNH851972:DNI851972 DDL851972:DDM851972 CTP851972:CTQ851972 CJT851972:CJU851972 BZX851972:BZY851972 BQB851972:BQC851972 BGF851972:BGG851972 AWJ851972:AWK851972 AMN851972:AMO851972 ACR851972:ACS851972 SV851972:SW851972 IZ851972:JA851972 D851972:E851972 WVL786436:WVM786436 WLP786436:WLQ786436 WBT786436:WBU786436 VRX786436:VRY786436 VIB786436:VIC786436 UYF786436:UYG786436 UOJ786436:UOK786436 UEN786436:UEO786436 TUR786436:TUS786436 TKV786436:TKW786436 TAZ786436:TBA786436 SRD786436:SRE786436 SHH786436:SHI786436 RXL786436:RXM786436 RNP786436:RNQ786436 RDT786436:RDU786436 QTX786436:QTY786436 QKB786436:QKC786436 QAF786436:QAG786436 PQJ786436:PQK786436 PGN786436:PGO786436 OWR786436:OWS786436 OMV786436:OMW786436 OCZ786436:ODA786436 NTD786436:NTE786436 NJH786436:NJI786436 MZL786436:MZM786436 MPP786436:MPQ786436 MFT786436:MFU786436 LVX786436:LVY786436 LMB786436:LMC786436 LCF786436:LCG786436 KSJ786436:KSK786436 KIN786436:KIO786436 JYR786436:JYS786436 JOV786436:JOW786436 JEZ786436:JFA786436 IVD786436:IVE786436 ILH786436:ILI786436 IBL786436:IBM786436 HRP786436:HRQ786436 HHT786436:HHU786436 GXX786436:GXY786436 GOB786436:GOC786436 GEF786436:GEG786436 FUJ786436:FUK786436 FKN786436:FKO786436 FAR786436:FAS786436 EQV786436:EQW786436 EGZ786436:EHA786436 DXD786436:DXE786436 DNH786436:DNI786436 DDL786436:DDM786436 CTP786436:CTQ786436 CJT786436:CJU786436 BZX786436:BZY786436 BQB786436:BQC786436 BGF786436:BGG786436 AWJ786436:AWK786436 AMN786436:AMO786436 ACR786436:ACS786436 SV786436:SW786436 IZ786436:JA786436 D786436:E786436 WVL720900:WVM720900 WLP720900:WLQ720900 WBT720900:WBU720900 VRX720900:VRY720900 VIB720900:VIC720900 UYF720900:UYG720900 UOJ720900:UOK720900 UEN720900:UEO720900 TUR720900:TUS720900 TKV720900:TKW720900 TAZ720900:TBA720900 SRD720900:SRE720900 SHH720900:SHI720900 RXL720900:RXM720900 RNP720900:RNQ720900 RDT720900:RDU720900 QTX720900:QTY720900 QKB720900:QKC720900 QAF720900:QAG720900 PQJ720900:PQK720900 PGN720900:PGO720900 OWR720900:OWS720900 OMV720900:OMW720900 OCZ720900:ODA720900 NTD720900:NTE720900 NJH720900:NJI720900 MZL720900:MZM720900 MPP720900:MPQ720900 MFT720900:MFU720900 LVX720900:LVY720900 LMB720900:LMC720900 LCF720900:LCG720900 KSJ720900:KSK720900 KIN720900:KIO720900 JYR720900:JYS720900 JOV720900:JOW720900 JEZ720900:JFA720900 IVD720900:IVE720900 ILH720900:ILI720900 IBL720900:IBM720900 HRP720900:HRQ720900 HHT720900:HHU720900 GXX720900:GXY720900 GOB720900:GOC720900 GEF720900:GEG720900 FUJ720900:FUK720900 FKN720900:FKO720900 FAR720900:FAS720900 EQV720900:EQW720900 EGZ720900:EHA720900 DXD720900:DXE720900 DNH720900:DNI720900 DDL720900:DDM720900 CTP720900:CTQ720900 CJT720900:CJU720900 BZX720900:BZY720900 BQB720900:BQC720900 BGF720900:BGG720900 AWJ720900:AWK720900 AMN720900:AMO720900 ACR720900:ACS720900 SV720900:SW720900 IZ720900:JA720900 D720900:E720900 WVL655364:WVM655364 WLP655364:WLQ655364 WBT655364:WBU655364 VRX655364:VRY655364 VIB655364:VIC655364 UYF655364:UYG655364 UOJ655364:UOK655364 UEN655364:UEO655364 TUR655364:TUS655364 TKV655364:TKW655364 TAZ655364:TBA655364 SRD655364:SRE655364 SHH655364:SHI655364 RXL655364:RXM655364 RNP655364:RNQ655364 RDT655364:RDU655364 QTX655364:QTY655364 QKB655364:QKC655364 QAF655364:QAG655364 PQJ655364:PQK655364 PGN655364:PGO655364 OWR655364:OWS655364 OMV655364:OMW655364 OCZ655364:ODA655364 NTD655364:NTE655364 NJH655364:NJI655364 MZL655364:MZM655364 MPP655364:MPQ655364 MFT655364:MFU655364 LVX655364:LVY655364 LMB655364:LMC655364 LCF655364:LCG655364 KSJ655364:KSK655364 KIN655364:KIO655364 JYR655364:JYS655364 JOV655364:JOW655364 JEZ655364:JFA655364 IVD655364:IVE655364 ILH655364:ILI655364 IBL655364:IBM655364 HRP655364:HRQ655364 HHT655364:HHU655364 GXX655364:GXY655364 GOB655364:GOC655364 GEF655364:GEG655364 FUJ655364:FUK655364 FKN655364:FKO655364 FAR655364:FAS655364 EQV655364:EQW655364 EGZ655364:EHA655364 DXD655364:DXE655364 DNH655364:DNI655364 DDL655364:DDM655364 CTP655364:CTQ655364 CJT655364:CJU655364 BZX655364:BZY655364 BQB655364:BQC655364 BGF655364:BGG655364 AWJ655364:AWK655364 AMN655364:AMO655364 ACR655364:ACS655364 SV655364:SW655364 IZ655364:JA655364 D655364:E655364 WVL589828:WVM589828 WLP589828:WLQ589828 WBT589828:WBU589828 VRX589828:VRY589828 VIB589828:VIC589828 UYF589828:UYG589828 UOJ589828:UOK589828 UEN589828:UEO589828 TUR589828:TUS589828 TKV589828:TKW589828 TAZ589828:TBA589828 SRD589828:SRE589828 SHH589828:SHI589828 RXL589828:RXM589828 RNP589828:RNQ589828 RDT589828:RDU589828 QTX589828:QTY589828 QKB589828:QKC589828 QAF589828:QAG589828 PQJ589828:PQK589828 PGN589828:PGO589828 OWR589828:OWS589828 OMV589828:OMW589828 OCZ589828:ODA589828 NTD589828:NTE589828 NJH589828:NJI589828 MZL589828:MZM589828 MPP589828:MPQ589828 MFT589828:MFU589828 LVX589828:LVY589828 LMB589828:LMC589828 LCF589828:LCG589828 KSJ589828:KSK589828 KIN589828:KIO589828 JYR589828:JYS589828 JOV589828:JOW589828 JEZ589828:JFA589828 IVD589828:IVE589828 ILH589828:ILI589828 IBL589828:IBM589828 HRP589828:HRQ589828 HHT589828:HHU589828 GXX589828:GXY589828 GOB589828:GOC589828 GEF589828:GEG589828 FUJ589828:FUK589828 FKN589828:FKO589828 FAR589828:FAS589828 EQV589828:EQW589828 EGZ589828:EHA589828 DXD589828:DXE589828 DNH589828:DNI589828 DDL589828:DDM589828 CTP589828:CTQ589828 CJT589828:CJU589828 BZX589828:BZY589828 BQB589828:BQC589828 BGF589828:BGG589828 AWJ589828:AWK589828 AMN589828:AMO589828 ACR589828:ACS589828 SV589828:SW589828 IZ589828:JA589828 D589828:E589828 WVL524292:WVM524292 WLP524292:WLQ524292 WBT524292:WBU524292 VRX524292:VRY524292 VIB524292:VIC524292 UYF524292:UYG524292 UOJ524292:UOK524292 UEN524292:UEO524292 TUR524292:TUS524292 TKV524292:TKW524292 TAZ524292:TBA524292 SRD524292:SRE524292 SHH524292:SHI524292 RXL524292:RXM524292 RNP524292:RNQ524292 RDT524292:RDU524292 QTX524292:QTY524292 QKB524292:QKC524292 QAF524292:QAG524292 PQJ524292:PQK524292 PGN524292:PGO524292 OWR524292:OWS524292 OMV524292:OMW524292 OCZ524292:ODA524292 NTD524292:NTE524292 NJH524292:NJI524292 MZL524292:MZM524292 MPP524292:MPQ524292 MFT524292:MFU524292 LVX524292:LVY524292 LMB524292:LMC524292 LCF524292:LCG524292 KSJ524292:KSK524292 KIN524292:KIO524292 JYR524292:JYS524292 JOV524292:JOW524292 JEZ524292:JFA524292 IVD524292:IVE524292 ILH524292:ILI524292 IBL524292:IBM524292 HRP524292:HRQ524292 HHT524292:HHU524292 GXX524292:GXY524292 GOB524292:GOC524292 GEF524292:GEG524292 FUJ524292:FUK524292 FKN524292:FKO524292 FAR524292:FAS524292 EQV524292:EQW524292 EGZ524292:EHA524292 DXD524292:DXE524292 DNH524292:DNI524292 DDL524292:DDM524292 CTP524292:CTQ524292 CJT524292:CJU524292 BZX524292:BZY524292 BQB524292:BQC524292 BGF524292:BGG524292 AWJ524292:AWK524292 AMN524292:AMO524292 ACR524292:ACS524292 SV524292:SW524292 IZ524292:JA524292 D524292:E524292 WVL458756:WVM458756 WLP458756:WLQ458756 WBT458756:WBU458756 VRX458756:VRY458756 VIB458756:VIC458756 UYF458756:UYG458756 UOJ458756:UOK458756 UEN458756:UEO458756 TUR458756:TUS458756 TKV458756:TKW458756 TAZ458756:TBA458756 SRD458756:SRE458756 SHH458756:SHI458756 RXL458756:RXM458756 RNP458756:RNQ458756 RDT458756:RDU458756 QTX458756:QTY458756 QKB458756:QKC458756 QAF458756:QAG458756 PQJ458756:PQK458756 PGN458756:PGO458756 OWR458756:OWS458756 OMV458756:OMW458756 OCZ458756:ODA458756 NTD458756:NTE458756 NJH458756:NJI458756 MZL458756:MZM458756 MPP458756:MPQ458756 MFT458756:MFU458756 LVX458756:LVY458756 LMB458756:LMC458756 LCF458756:LCG458756 KSJ458756:KSK458756 KIN458756:KIO458756 JYR458756:JYS458756 JOV458756:JOW458756 JEZ458756:JFA458756 IVD458756:IVE458756 ILH458756:ILI458756 IBL458756:IBM458756 HRP458756:HRQ458756 HHT458756:HHU458756 GXX458756:GXY458756 GOB458756:GOC458756 GEF458756:GEG458756 FUJ458756:FUK458756 FKN458756:FKO458756 FAR458756:FAS458756 EQV458756:EQW458756 EGZ458756:EHA458756 DXD458756:DXE458756 DNH458756:DNI458756 DDL458756:DDM458756 CTP458756:CTQ458756 CJT458756:CJU458756 BZX458756:BZY458756 BQB458756:BQC458756 BGF458756:BGG458756 AWJ458756:AWK458756 AMN458756:AMO458756 ACR458756:ACS458756 SV458756:SW458756 IZ458756:JA458756 D458756:E458756 WVL393220:WVM393220 WLP393220:WLQ393220 WBT393220:WBU393220 VRX393220:VRY393220 VIB393220:VIC393220 UYF393220:UYG393220 UOJ393220:UOK393220 UEN393220:UEO393220 TUR393220:TUS393220 TKV393220:TKW393220 TAZ393220:TBA393220 SRD393220:SRE393220 SHH393220:SHI393220 RXL393220:RXM393220 RNP393220:RNQ393220 RDT393220:RDU393220 QTX393220:QTY393220 QKB393220:QKC393220 QAF393220:QAG393220 PQJ393220:PQK393220 PGN393220:PGO393220 OWR393220:OWS393220 OMV393220:OMW393220 OCZ393220:ODA393220 NTD393220:NTE393220 NJH393220:NJI393220 MZL393220:MZM393220 MPP393220:MPQ393220 MFT393220:MFU393220 LVX393220:LVY393220 LMB393220:LMC393220 LCF393220:LCG393220 KSJ393220:KSK393220 KIN393220:KIO393220 JYR393220:JYS393220 JOV393220:JOW393220 JEZ393220:JFA393220 IVD393220:IVE393220 ILH393220:ILI393220 IBL393220:IBM393220 HRP393220:HRQ393220 HHT393220:HHU393220 GXX393220:GXY393220 GOB393220:GOC393220 GEF393220:GEG393220 FUJ393220:FUK393220 FKN393220:FKO393220 FAR393220:FAS393220 EQV393220:EQW393220 EGZ393220:EHA393220 DXD393220:DXE393220 DNH393220:DNI393220 DDL393220:DDM393220 CTP393220:CTQ393220 CJT393220:CJU393220 BZX393220:BZY393220 BQB393220:BQC393220 BGF393220:BGG393220 AWJ393220:AWK393220 AMN393220:AMO393220 ACR393220:ACS393220 SV393220:SW393220 IZ393220:JA393220 D393220:E393220 WVL327684:WVM327684 WLP327684:WLQ327684 WBT327684:WBU327684 VRX327684:VRY327684 VIB327684:VIC327684 UYF327684:UYG327684 UOJ327684:UOK327684 UEN327684:UEO327684 TUR327684:TUS327684 TKV327684:TKW327684 TAZ327684:TBA327684 SRD327684:SRE327684 SHH327684:SHI327684 RXL327684:RXM327684 RNP327684:RNQ327684 RDT327684:RDU327684 QTX327684:QTY327684 QKB327684:QKC327684 QAF327684:QAG327684 PQJ327684:PQK327684 PGN327684:PGO327684 OWR327684:OWS327684 OMV327684:OMW327684 OCZ327684:ODA327684 NTD327684:NTE327684 NJH327684:NJI327684 MZL327684:MZM327684 MPP327684:MPQ327684 MFT327684:MFU327684 LVX327684:LVY327684 LMB327684:LMC327684 LCF327684:LCG327684 KSJ327684:KSK327684 KIN327684:KIO327684 JYR327684:JYS327684 JOV327684:JOW327684 JEZ327684:JFA327684 IVD327684:IVE327684 ILH327684:ILI327684 IBL327684:IBM327684 HRP327684:HRQ327684 HHT327684:HHU327684 GXX327684:GXY327684 GOB327684:GOC327684 GEF327684:GEG327684 FUJ327684:FUK327684 FKN327684:FKO327684 FAR327684:FAS327684 EQV327684:EQW327684 EGZ327684:EHA327684 DXD327684:DXE327684 DNH327684:DNI327684 DDL327684:DDM327684 CTP327684:CTQ327684 CJT327684:CJU327684 BZX327684:BZY327684 BQB327684:BQC327684 BGF327684:BGG327684 AWJ327684:AWK327684 AMN327684:AMO327684 ACR327684:ACS327684 SV327684:SW327684 IZ327684:JA327684 D327684:E327684 WVL262148:WVM262148 WLP262148:WLQ262148 WBT262148:WBU262148 VRX262148:VRY262148 VIB262148:VIC262148 UYF262148:UYG262148 UOJ262148:UOK262148 UEN262148:UEO262148 TUR262148:TUS262148 TKV262148:TKW262148 TAZ262148:TBA262148 SRD262148:SRE262148 SHH262148:SHI262148 RXL262148:RXM262148 RNP262148:RNQ262148 RDT262148:RDU262148 QTX262148:QTY262148 QKB262148:QKC262148 QAF262148:QAG262148 PQJ262148:PQK262148 PGN262148:PGO262148 OWR262148:OWS262148 OMV262148:OMW262148 OCZ262148:ODA262148 NTD262148:NTE262148 NJH262148:NJI262148 MZL262148:MZM262148 MPP262148:MPQ262148 MFT262148:MFU262148 LVX262148:LVY262148 LMB262148:LMC262148 LCF262148:LCG262148 KSJ262148:KSK262148 KIN262148:KIO262148 JYR262148:JYS262148 JOV262148:JOW262148 JEZ262148:JFA262148 IVD262148:IVE262148 ILH262148:ILI262148 IBL262148:IBM262148 HRP262148:HRQ262148 HHT262148:HHU262148 GXX262148:GXY262148 GOB262148:GOC262148 GEF262148:GEG262148 FUJ262148:FUK262148 FKN262148:FKO262148 FAR262148:FAS262148 EQV262148:EQW262148 EGZ262148:EHA262148 DXD262148:DXE262148 DNH262148:DNI262148 DDL262148:DDM262148 CTP262148:CTQ262148 CJT262148:CJU262148 BZX262148:BZY262148 BQB262148:BQC262148 BGF262148:BGG262148 AWJ262148:AWK262148 AMN262148:AMO262148 ACR262148:ACS262148 SV262148:SW262148 IZ262148:JA262148 D262148:E262148 WVL196612:WVM196612 WLP196612:WLQ196612 WBT196612:WBU196612 VRX196612:VRY196612 VIB196612:VIC196612 UYF196612:UYG196612 UOJ196612:UOK196612 UEN196612:UEO196612 TUR196612:TUS196612 TKV196612:TKW196612 TAZ196612:TBA196612 SRD196612:SRE196612 SHH196612:SHI196612 RXL196612:RXM196612 RNP196612:RNQ196612 RDT196612:RDU196612 QTX196612:QTY196612 QKB196612:QKC196612 QAF196612:QAG196612 PQJ196612:PQK196612 PGN196612:PGO196612 OWR196612:OWS196612 OMV196612:OMW196612 OCZ196612:ODA196612 NTD196612:NTE196612 NJH196612:NJI196612 MZL196612:MZM196612 MPP196612:MPQ196612 MFT196612:MFU196612 LVX196612:LVY196612 LMB196612:LMC196612 LCF196612:LCG196612 KSJ196612:KSK196612 KIN196612:KIO196612 JYR196612:JYS196612 JOV196612:JOW196612 JEZ196612:JFA196612 IVD196612:IVE196612 ILH196612:ILI196612 IBL196612:IBM196612 HRP196612:HRQ196612 HHT196612:HHU196612 GXX196612:GXY196612 GOB196612:GOC196612 GEF196612:GEG196612 FUJ196612:FUK196612 FKN196612:FKO196612 FAR196612:FAS196612 EQV196612:EQW196612 EGZ196612:EHA196612 DXD196612:DXE196612 DNH196612:DNI196612 DDL196612:DDM196612 CTP196612:CTQ196612 CJT196612:CJU196612 BZX196612:BZY196612 BQB196612:BQC196612 BGF196612:BGG196612 AWJ196612:AWK196612 AMN196612:AMO196612 ACR196612:ACS196612 SV196612:SW196612 IZ196612:JA196612 D196612:E196612 WVL131076:WVM131076 WLP131076:WLQ131076 WBT131076:WBU131076 VRX131076:VRY131076 VIB131076:VIC131076 UYF131076:UYG131076 UOJ131076:UOK131076 UEN131076:UEO131076 TUR131076:TUS131076 TKV131076:TKW131076 TAZ131076:TBA131076 SRD131076:SRE131076 SHH131076:SHI131076 RXL131076:RXM131076 RNP131076:RNQ131076 RDT131076:RDU131076 QTX131076:QTY131076 QKB131076:QKC131076 QAF131076:QAG131076 PQJ131076:PQK131076 PGN131076:PGO131076 OWR131076:OWS131076 OMV131076:OMW131076 OCZ131076:ODA131076 NTD131076:NTE131076 NJH131076:NJI131076 MZL131076:MZM131076 MPP131076:MPQ131076 MFT131076:MFU131076 LVX131076:LVY131076 LMB131076:LMC131076 LCF131076:LCG131076 KSJ131076:KSK131076 KIN131076:KIO131076 JYR131076:JYS131076 JOV131076:JOW131076 JEZ131076:JFA131076 IVD131076:IVE131076 ILH131076:ILI131076 IBL131076:IBM131076 HRP131076:HRQ131076 HHT131076:HHU131076 GXX131076:GXY131076 GOB131076:GOC131076 GEF131076:GEG131076 FUJ131076:FUK131076 FKN131076:FKO131076 FAR131076:FAS131076 EQV131076:EQW131076 EGZ131076:EHA131076 DXD131076:DXE131076 DNH131076:DNI131076 DDL131076:DDM131076 CTP131076:CTQ131076 CJT131076:CJU131076 BZX131076:BZY131076 BQB131076:BQC131076 BGF131076:BGG131076 AWJ131076:AWK131076 AMN131076:AMO131076 ACR131076:ACS131076 SV131076:SW131076 IZ131076:JA131076 D131076:E131076 WVL65540:WVM65540 WLP65540:WLQ65540 WBT65540:WBU65540 VRX65540:VRY65540 VIB65540:VIC65540 UYF65540:UYG65540 UOJ65540:UOK65540 UEN65540:UEO65540 TUR65540:TUS65540 TKV65540:TKW65540 TAZ65540:TBA65540 SRD65540:SRE65540 SHH65540:SHI65540 RXL65540:RXM65540 RNP65540:RNQ65540 RDT65540:RDU65540 QTX65540:QTY65540 QKB65540:QKC65540 QAF65540:QAG65540 PQJ65540:PQK65540 PGN65540:PGO65540 OWR65540:OWS65540 OMV65540:OMW65540 OCZ65540:ODA65540 NTD65540:NTE65540 NJH65540:NJI65540 MZL65540:MZM65540 MPP65540:MPQ65540 MFT65540:MFU65540 LVX65540:LVY65540 LMB65540:LMC65540 LCF65540:LCG65540 KSJ65540:KSK65540 KIN65540:KIO65540 JYR65540:JYS65540 JOV65540:JOW65540 JEZ65540:JFA65540 IVD65540:IVE65540 ILH65540:ILI65540 IBL65540:IBM65540 HRP65540:HRQ65540 HHT65540:HHU65540 GXX65540:GXY65540 GOB65540:GOC65540 GEF65540:GEG65540 FUJ65540:FUK65540 FKN65540:FKO65540 FAR65540:FAS65540 EQV65540:EQW65540 EGZ65540:EHA65540 DXD65540:DXE65540 DNH65540:DNI65540 DDL65540:DDM65540 CTP65540:CTQ65540 CJT65540:CJU65540 BZX65540:BZY65540 BQB65540:BQC65540 BGF65540:BGG65540 AWJ65540:AWK65540 AMN65540:AMO65540 ACR65540:ACS65540 SV65540:SW65540 IZ65540:JA65540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D14:E14">
      <formula1>$D$136:$D$140</formula1>
    </dataValidation>
    <dataValidation type="list" allowBlank="1" showInputMessage="1" showErrorMessage="1" sqref="D65539:E65539 WVL983043:WVM983043 WLP983043:WLQ983043 WBT983043:WBU983043 VRX983043:VRY983043 VIB983043:VIC983043 UYF983043:UYG983043 UOJ983043:UOK983043 UEN983043:UEO983043 TUR983043:TUS983043 TKV983043:TKW983043 TAZ983043:TBA983043 SRD983043:SRE983043 SHH983043:SHI983043 RXL983043:RXM983043 RNP983043:RNQ983043 RDT983043:RDU983043 QTX983043:QTY983043 QKB983043:QKC983043 QAF983043:QAG983043 PQJ983043:PQK983043 PGN983043:PGO983043 OWR983043:OWS983043 OMV983043:OMW983043 OCZ983043:ODA983043 NTD983043:NTE983043 NJH983043:NJI983043 MZL983043:MZM983043 MPP983043:MPQ983043 MFT983043:MFU983043 LVX983043:LVY983043 LMB983043:LMC983043 LCF983043:LCG983043 KSJ983043:KSK983043 KIN983043:KIO983043 JYR983043:JYS983043 JOV983043:JOW983043 JEZ983043:JFA983043 IVD983043:IVE983043 ILH983043:ILI983043 IBL983043:IBM983043 HRP983043:HRQ983043 HHT983043:HHU983043 GXX983043:GXY983043 GOB983043:GOC983043 GEF983043:GEG983043 FUJ983043:FUK983043 FKN983043:FKO983043 FAR983043:FAS983043 EQV983043:EQW983043 EGZ983043:EHA983043 DXD983043:DXE983043 DNH983043:DNI983043 DDL983043:DDM983043 CTP983043:CTQ983043 CJT983043:CJU983043 BZX983043:BZY983043 BQB983043:BQC983043 BGF983043:BGG983043 AWJ983043:AWK983043 AMN983043:AMO983043 ACR983043:ACS983043 SV983043:SW983043 IZ983043:JA983043 D983043:E983043 WVL917507:WVM917507 WLP917507:WLQ917507 WBT917507:WBU917507 VRX917507:VRY917507 VIB917507:VIC917507 UYF917507:UYG917507 UOJ917507:UOK917507 UEN917507:UEO917507 TUR917507:TUS917507 TKV917507:TKW917507 TAZ917507:TBA917507 SRD917507:SRE917507 SHH917507:SHI917507 RXL917507:RXM917507 RNP917507:RNQ917507 RDT917507:RDU917507 QTX917507:QTY917507 QKB917507:QKC917507 QAF917507:QAG917507 PQJ917507:PQK917507 PGN917507:PGO917507 OWR917507:OWS917507 OMV917507:OMW917507 OCZ917507:ODA917507 NTD917507:NTE917507 NJH917507:NJI917507 MZL917507:MZM917507 MPP917507:MPQ917507 MFT917507:MFU917507 LVX917507:LVY917507 LMB917507:LMC917507 LCF917507:LCG917507 KSJ917507:KSK917507 KIN917507:KIO917507 JYR917507:JYS917507 JOV917507:JOW917507 JEZ917507:JFA917507 IVD917507:IVE917507 ILH917507:ILI917507 IBL917507:IBM917507 HRP917507:HRQ917507 HHT917507:HHU917507 GXX917507:GXY917507 GOB917507:GOC917507 GEF917507:GEG917507 FUJ917507:FUK917507 FKN917507:FKO917507 FAR917507:FAS917507 EQV917507:EQW917507 EGZ917507:EHA917507 DXD917507:DXE917507 DNH917507:DNI917507 DDL917507:DDM917507 CTP917507:CTQ917507 CJT917507:CJU917507 BZX917507:BZY917507 BQB917507:BQC917507 BGF917507:BGG917507 AWJ917507:AWK917507 AMN917507:AMO917507 ACR917507:ACS917507 SV917507:SW917507 IZ917507:JA917507 D917507:E917507 WVL851971:WVM851971 WLP851971:WLQ851971 WBT851971:WBU851971 VRX851971:VRY851971 VIB851971:VIC851971 UYF851971:UYG851971 UOJ851971:UOK851971 UEN851971:UEO851971 TUR851971:TUS851971 TKV851971:TKW851971 TAZ851971:TBA851971 SRD851971:SRE851971 SHH851971:SHI851971 RXL851971:RXM851971 RNP851971:RNQ851971 RDT851971:RDU851971 QTX851971:QTY851971 QKB851971:QKC851971 QAF851971:QAG851971 PQJ851971:PQK851971 PGN851971:PGO851971 OWR851971:OWS851971 OMV851971:OMW851971 OCZ851971:ODA851971 NTD851971:NTE851971 NJH851971:NJI851971 MZL851971:MZM851971 MPP851971:MPQ851971 MFT851971:MFU851971 LVX851971:LVY851971 LMB851971:LMC851971 LCF851971:LCG851971 KSJ851971:KSK851971 KIN851971:KIO851971 JYR851971:JYS851971 JOV851971:JOW851971 JEZ851971:JFA851971 IVD851971:IVE851971 ILH851971:ILI851971 IBL851971:IBM851971 HRP851971:HRQ851971 HHT851971:HHU851971 GXX851971:GXY851971 GOB851971:GOC851971 GEF851971:GEG851971 FUJ851971:FUK851971 FKN851971:FKO851971 FAR851971:FAS851971 EQV851971:EQW851971 EGZ851971:EHA851971 DXD851971:DXE851971 DNH851971:DNI851971 DDL851971:DDM851971 CTP851971:CTQ851971 CJT851971:CJU851971 BZX851971:BZY851971 BQB851971:BQC851971 BGF851971:BGG851971 AWJ851971:AWK851971 AMN851971:AMO851971 ACR851971:ACS851971 SV851971:SW851971 IZ851971:JA851971 D851971:E851971 WVL786435:WVM786435 WLP786435:WLQ786435 WBT786435:WBU786435 VRX786435:VRY786435 VIB786435:VIC786435 UYF786435:UYG786435 UOJ786435:UOK786435 UEN786435:UEO786435 TUR786435:TUS786435 TKV786435:TKW786435 TAZ786435:TBA786435 SRD786435:SRE786435 SHH786435:SHI786435 RXL786435:RXM786435 RNP786435:RNQ786435 RDT786435:RDU786435 QTX786435:QTY786435 QKB786435:QKC786435 QAF786435:QAG786435 PQJ786435:PQK786435 PGN786435:PGO786435 OWR786435:OWS786435 OMV786435:OMW786435 OCZ786435:ODA786435 NTD786435:NTE786435 NJH786435:NJI786435 MZL786435:MZM786435 MPP786435:MPQ786435 MFT786435:MFU786435 LVX786435:LVY786435 LMB786435:LMC786435 LCF786435:LCG786435 KSJ786435:KSK786435 KIN786435:KIO786435 JYR786435:JYS786435 JOV786435:JOW786435 JEZ786435:JFA786435 IVD786435:IVE786435 ILH786435:ILI786435 IBL786435:IBM786435 HRP786435:HRQ786435 HHT786435:HHU786435 GXX786435:GXY786435 GOB786435:GOC786435 GEF786435:GEG786435 FUJ786435:FUK786435 FKN786435:FKO786435 FAR786435:FAS786435 EQV786435:EQW786435 EGZ786435:EHA786435 DXD786435:DXE786435 DNH786435:DNI786435 DDL786435:DDM786435 CTP786435:CTQ786435 CJT786435:CJU786435 BZX786435:BZY786435 BQB786435:BQC786435 BGF786435:BGG786435 AWJ786435:AWK786435 AMN786435:AMO786435 ACR786435:ACS786435 SV786435:SW786435 IZ786435:JA786435 D786435:E786435 WVL720899:WVM720899 WLP720899:WLQ720899 WBT720899:WBU720899 VRX720899:VRY720899 VIB720899:VIC720899 UYF720899:UYG720899 UOJ720899:UOK720899 UEN720899:UEO720899 TUR720899:TUS720899 TKV720899:TKW720899 TAZ720899:TBA720899 SRD720899:SRE720899 SHH720899:SHI720899 RXL720899:RXM720899 RNP720899:RNQ720899 RDT720899:RDU720899 QTX720899:QTY720899 QKB720899:QKC720899 QAF720899:QAG720899 PQJ720899:PQK720899 PGN720899:PGO720899 OWR720899:OWS720899 OMV720899:OMW720899 OCZ720899:ODA720899 NTD720899:NTE720899 NJH720899:NJI720899 MZL720899:MZM720899 MPP720899:MPQ720899 MFT720899:MFU720899 LVX720899:LVY720899 LMB720899:LMC720899 LCF720899:LCG720899 KSJ720899:KSK720899 KIN720899:KIO720899 JYR720899:JYS720899 JOV720899:JOW720899 JEZ720899:JFA720899 IVD720899:IVE720899 ILH720899:ILI720899 IBL720899:IBM720899 HRP720899:HRQ720899 HHT720899:HHU720899 GXX720899:GXY720899 GOB720899:GOC720899 GEF720899:GEG720899 FUJ720899:FUK720899 FKN720899:FKO720899 FAR720899:FAS720899 EQV720899:EQW720899 EGZ720899:EHA720899 DXD720899:DXE720899 DNH720899:DNI720899 DDL720899:DDM720899 CTP720899:CTQ720899 CJT720899:CJU720899 BZX720899:BZY720899 BQB720899:BQC720899 BGF720899:BGG720899 AWJ720899:AWK720899 AMN720899:AMO720899 ACR720899:ACS720899 SV720899:SW720899 IZ720899:JA720899 D720899:E720899 WVL655363:WVM655363 WLP655363:WLQ655363 WBT655363:WBU655363 VRX655363:VRY655363 VIB655363:VIC655363 UYF655363:UYG655363 UOJ655363:UOK655363 UEN655363:UEO655363 TUR655363:TUS655363 TKV655363:TKW655363 TAZ655363:TBA655363 SRD655363:SRE655363 SHH655363:SHI655363 RXL655363:RXM655363 RNP655363:RNQ655363 RDT655363:RDU655363 QTX655363:QTY655363 QKB655363:QKC655363 QAF655363:QAG655363 PQJ655363:PQK655363 PGN655363:PGO655363 OWR655363:OWS655363 OMV655363:OMW655363 OCZ655363:ODA655363 NTD655363:NTE655363 NJH655363:NJI655363 MZL655363:MZM655363 MPP655363:MPQ655363 MFT655363:MFU655363 LVX655363:LVY655363 LMB655363:LMC655363 LCF655363:LCG655363 KSJ655363:KSK655363 KIN655363:KIO655363 JYR655363:JYS655363 JOV655363:JOW655363 JEZ655363:JFA655363 IVD655363:IVE655363 ILH655363:ILI655363 IBL655363:IBM655363 HRP655363:HRQ655363 HHT655363:HHU655363 GXX655363:GXY655363 GOB655363:GOC655363 GEF655363:GEG655363 FUJ655363:FUK655363 FKN655363:FKO655363 FAR655363:FAS655363 EQV655363:EQW655363 EGZ655363:EHA655363 DXD655363:DXE655363 DNH655363:DNI655363 DDL655363:DDM655363 CTP655363:CTQ655363 CJT655363:CJU655363 BZX655363:BZY655363 BQB655363:BQC655363 BGF655363:BGG655363 AWJ655363:AWK655363 AMN655363:AMO655363 ACR655363:ACS655363 SV655363:SW655363 IZ655363:JA655363 D655363:E655363 WVL589827:WVM589827 WLP589827:WLQ589827 WBT589827:WBU589827 VRX589827:VRY589827 VIB589827:VIC589827 UYF589827:UYG589827 UOJ589827:UOK589827 UEN589827:UEO589827 TUR589827:TUS589827 TKV589827:TKW589827 TAZ589827:TBA589827 SRD589827:SRE589827 SHH589827:SHI589827 RXL589827:RXM589827 RNP589827:RNQ589827 RDT589827:RDU589827 QTX589827:QTY589827 QKB589827:QKC589827 QAF589827:QAG589827 PQJ589827:PQK589827 PGN589827:PGO589827 OWR589827:OWS589827 OMV589827:OMW589827 OCZ589827:ODA589827 NTD589827:NTE589827 NJH589827:NJI589827 MZL589827:MZM589827 MPP589827:MPQ589827 MFT589827:MFU589827 LVX589827:LVY589827 LMB589827:LMC589827 LCF589827:LCG589827 KSJ589827:KSK589827 KIN589827:KIO589827 JYR589827:JYS589827 JOV589827:JOW589827 JEZ589827:JFA589827 IVD589827:IVE589827 ILH589827:ILI589827 IBL589827:IBM589827 HRP589827:HRQ589827 HHT589827:HHU589827 GXX589827:GXY589827 GOB589827:GOC589827 GEF589827:GEG589827 FUJ589827:FUK589827 FKN589827:FKO589827 FAR589827:FAS589827 EQV589827:EQW589827 EGZ589827:EHA589827 DXD589827:DXE589827 DNH589827:DNI589827 DDL589827:DDM589827 CTP589827:CTQ589827 CJT589827:CJU589827 BZX589827:BZY589827 BQB589827:BQC589827 BGF589827:BGG589827 AWJ589827:AWK589827 AMN589827:AMO589827 ACR589827:ACS589827 SV589827:SW589827 IZ589827:JA589827 D589827:E589827 WVL524291:WVM524291 WLP524291:WLQ524291 WBT524291:WBU524291 VRX524291:VRY524291 VIB524291:VIC524291 UYF524291:UYG524291 UOJ524291:UOK524291 UEN524291:UEO524291 TUR524291:TUS524291 TKV524291:TKW524291 TAZ524291:TBA524291 SRD524291:SRE524291 SHH524291:SHI524291 RXL524291:RXM524291 RNP524291:RNQ524291 RDT524291:RDU524291 QTX524291:QTY524291 QKB524291:QKC524291 QAF524291:QAG524291 PQJ524291:PQK524291 PGN524291:PGO524291 OWR524291:OWS524291 OMV524291:OMW524291 OCZ524291:ODA524291 NTD524291:NTE524291 NJH524291:NJI524291 MZL524291:MZM524291 MPP524291:MPQ524291 MFT524291:MFU524291 LVX524291:LVY524291 LMB524291:LMC524291 LCF524291:LCG524291 KSJ524291:KSK524291 KIN524291:KIO524291 JYR524291:JYS524291 JOV524291:JOW524291 JEZ524291:JFA524291 IVD524291:IVE524291 ILH524291:ILI524291 IBL524291:IBM524291 HRP524291:HRQ524291 HHT524291:HHU524291 GXX524291:GXY524291 GOB524291:GOC524291 GEF524291:GEG524291 FUJ524291:FUK524291 FKN524291:FKO524291 FAR524291:FAS524291 EQV524291:EQW524291 EGZ524291:EHA524291 DXD524291:DXE524291 DNH524291:DNI524291 DDL524291:DDM524291 CTP524291:CTQ524291 CJT524291:CJU524291 BZX524291:BZY524291 BQB524291:BQC524291 BGF524291:BGG524291 AWJ524291:AWK524291 AMN524291:AMO524291 ACR524291:ACS524291 SV524291:SW524291 IZ524291:JA524291 D524291:E524291 WVL458755:WVM458755 WLP458755:WLQ458755 WBT458755:WBU458755 VRX458755:VRY458755 VIB458755:VIC458755 UYF458755:UYG458755 UOJ458755:UOK458755 UEN458755:UEO458755 TUR458755:TUS458755 TKV458755:TKW458755 TAZ458755:TBA458755 SRD458755:SRE458755 SHH458755:SHI458755 RXL458755:RXM458755 RNP458755:RNQ458755 RDT458755:RDU458755 QTX458755:QTY458755 QKB458755:QKC458755 QAF458755:QAG458755 PQJ458755:PQK458755 PGN458755:PGO458755 OWR458755:OWS458755 OMV458755:OMW458755 OCZ458755:ODA458755 NTD458755:NTE458755 NJH458755:NJI458755 MZL458755:MZM458755 MPP458755:MPQ458755 MFT458755:MFU458755 LVX458755:LVY458755 LMB458755:LMC458755 LCF458755:LCG458755 KSJ458755:KSK458755 KIN458755:KIO458755 JYR458755:JYS458755 JOV458755:JOW458755 JEZ458755:JFA458755 IVD458755:IVE458755 ILH458755:ILI458755 IBL458755:IBM458755 HRP458755:HRQ458755 HHT458755:HHU458755 GXX458755:GXY458755 GOB458755:GOC458755 GEF458755:GEG458755 FUJ458755:FUK458755 FKN458755:FKO458755 FAR458755:FAS458755 EQV458755:EQW458755 EGZ458755:EHA458755 DXD458755:DXE458755 DNH458755:DNI458755 DDL458755:DDM458755 CTP458755:CTQ458755 CJT458755:CJU458755 BZX458755:BZY458755 BQB458755:BQC458755 BGF458755:BGG458755 AWJ458755:AWK458755 AMN458755:AMO458755 ACR458755:ACS458755 SV458755:SW458755 IZ458755:JA458755 D458755:E458755 WVL393219:WVM393219 WLP393219:WLQ393219 WBT393219:WBU393219 VRX393219:VRY393219 VIB393219:VIC393219 UYF393219:UYG393219 UOJ393219:UOK393219 UEN393219:UEO393219 TUR393219:TUS393219 TKV393219:TKW393219 TAZ393219:TBA393219 SRD393219:SRE393219 SHH393219:SHI393219 RXL393219:RXM393219 RNP393219:RNQ393219 RDT393219:RDU393219 QTX393219:QTY393219 QKB393219:QKC393219 QAF393219:QAG393219 PQJ393219:PQK393219 PGN393219:PGO393219 OWR393219:OWS393219 OMV393219:OMW393219 OCZ393219:ODA393219 NTD393219:NTE393219 NJH393219:NJI393219 MZL393219:MZM393219 MPP393219:MPQ393219 MFT393219:MFU393219 LVX393219:LVY393219 LMB393219:LMC393219 LCF393219:LCG393219 KSJ393219:KSK393219 KIN393219:KIO393219 JYR393219:JYS393219 JOV393219:JOW393219 JEZ393219:JFA393219 IVD393219:IVE393219 ILH393219:ILI393219 IBL393219:IBM393219 HRP393219:HRQ393219 HHT393219:HHU393219 GXX393219:GXY393219 GOB393219:GOC393219 GEF393219:GEG393219 FUJ393219:FUK393219 FKN393219:FKO393219 FAR393219:FAS393219 EQV393219:EQW393219 EGZ393219:EHA393219 DXD393219:DXE393219 DNH393219:DNI393219 DDL393219:DDM393219 CTP393219:CTQ393219 CJT393219:CJU393219 BZX393219:BZY393219 BQB393219:BQC393219 BGF393219:BGG393219 AWJ393219:AWK393219 AMN393219:AMO393219 ACR393219:ACS393219 SV393219:SW393219 IZ393219:JA393219 D393219:E393219 WVL327683:WVM327683 WLP327683:WLQ327683 WBT327683:WBU327683 VRX327683:VRY327683 VIB327683:VIC327683 UYF327683:UYG327683 UOJ327683:UOK327683 UEN327683:UEO327683 TUR327683:TUS327683 TKV327683:TKW327683 TAZ327683:TBA327683 SRD327683:SRE327683 SHH327683:SHI327683 RXL327683:RXM327683 RNP327683:RNQ327683 RDT327683:RDU327683 QTX327683:QTY327683 QKB327683:QKC327683 QAF327683:QAG327683 PQJ327683:PQK327683 PGN327683:PGO327683 OWR327683:OWS327683 OMV327683:OMW327683 OCZ327683:ODA327683 NTD327683:NTE327683 NJH327683:NJI327683 MZL327683:MZM327683 MPP327683:MPQ327683 MFT327683:MFU327683 LVX327683:LVY327683 LMB327683:LMC327683 LCF327683:LCG327683 KSJ327683:KSK327683 KIN327683:KIO327683 JYR327683:JYS327683 JOV327683:JOW327683 JEZ327683:JFA327683 IVD327683:IVE327683 ILH327683:ILI327683 IBL327683:IBM327683 HRP327683:HRQ327683 HHT327683:HHU327683 GXX327683:GXY327683 GOB327683:GOC327683 GEF327683:GEG327683 FUJ327683:FUK327683 FKN327683:FKO327683 FAR327683:FAS327683 EQV327683:EQW327683 EGZ327683:EHA327683 DXD327683:DXE327683 DNH327683:DNI327683 DDL327683:DDM327683 CTP327683:CTQ327683 CJT327683:CJU327683 BZX327683:BZY327683 BQB327683:BQC327683 BGF327683:BGG327683 AWJ327683:AWK327683 AMN327683:AMO327683 ACR327683:ACS327683 SV327683:SW327683 IZ327683:JA327683 D327683:E327683 WVL262147:WVM262147 WLP262147:WLQ262147 WBT262147:WBU262147 VRX262147:VRY262147 VIB262147:VIC262147 UYF262147:UYG262147 UOJ262147:UOK262147 UEN262147:UEO262147 TUR262147:TUS262147 TKV262147:TKW262147 TAZ262147:TBA262147 SRD262147:SRE262147 SHH262147:SHI262147 RXL262147:RXM262147 RNP262147:RNQ262147 RDT262147:RDU262147 QTX262147:QTY262147 QKB262147:QKC262147 QAF262147:QAG262147 PQJ262147:PQK262147 PGN262147:PGO262147 OWR262147:OWS262147 OMV262147:OMW262147 OCZ262147:ODA262147 NTD262147:NTE262147 NJH262147:NJI262147 MZL262147:MZM262147 MPP262147:MPQ262147 MFT262147:MFU262147 LVX262147:LVY262147 LMB262147:LMC262147 LCF262147:LCG262147 KSJ262147:KSK262147 KIN262147:KIO262147 JYR262147:JYS262147 JOV262147:JOW262147 JEZ262147:JFA262147 IVD262147:IVE262147 ILH262147:ILI262147 IBL262147:IBM262147 HRP262147:HRQ262147 HHT262147:HHU262147 GXX262147:GXY262147 GOB262147:GOC262147 GEF262147:GEG262147 FUJ262147:FUK262147 FKN262147:FKO262147 FAR262147:FAS262147 EQV262147:EQW262147 EGZ262147:EHA262147 DXD262147:DXE262147 DNH262147:DNI262147 DDL262147:DDM262147 CTP262147:CTQ262147 CJT262147:CJU262147 BZX262147:BZY262147 BQB262147:BQC262147 BGF262147:BGG262147 AWJ262147:AWK262147 AMN262147:AMO262147 ACR262147:ACS262147 SV262147:SW262147 IZ262147:JA262147 D262147:E262147 WVL196611:WVM196611 WLP196611:WLQ196611 WBT196611:WBU196611 VRX196611:VRY196611 VIB196611:VIC196611 UYF196611:UYG196611 UOJ196611:UOK196611 UEN196611:UEO196611 TUR196611:TUS196611 TKV196611:TKW196611 TAZ196611:TBA196611 SRD196611:SRE196611 SHH196611:SHI196611 RXL196611:RXM196611 RNP196611:RNQ196611 RDT196611:RDU196611 QTX196611:QTY196611 QKB196611:QKC196611 QAF196611:QAG196611 PQJ196611:PQK196611 PGN196611:PGO196611 OWR196611:OWS196611 OMV196611:OMW196611 OCZ196611:ODA196611 NTD196611:NTE196611 NJH196611:NJI196611 MZL196611:MZM196611 MPP196611:MPQ196611 MFT196611:MFU196611 LVX196611:LVY196611 LMB196611:LMC196611 LCF196611:LCG196611 KSJ196611:KSK196611 KIN196611:KIO196611 JYR196611:JYS196611 JOV196611:JOW196611 JEZ196611:JFA196611 IVD196611:IVE196611 ILH196611:ILI196611 IBL196611:IBM196611 HRP196611:HRQ196611 HHT196611:HHU196611 GXX196611:GXY196611 GOB196611:GOC196611 GEF196611:GEG196611 FUJ196611:FUK196611 FKN196611:FKO196611 FAR196611:FAS196611 EQV196611:EQW196611 EGZ196611:EHA196611 DXD196611:DXE196611 DNH196611:DNI196611 DDL196611:DDM196611 CTP196611:CTQ196611 CJT196611:CJU196611 BZX196611:BZY196611 BQB196611:BQC196611 BGF196611:BGG196611 AWJ196611:AWK196611 AMN196611:AMO196611 ACR196611:ACS196611 SV196611:SW196611 IZ196611:JA196611 D196611:E196611 WVL131075:WVM131075 WLP131075:WLQ131075 WBT131075:WBU131075 VRX131075:VRY131075 VIB131075:VIC131075 UYF131075:UYG131075 UOJ131075:UOK131075 UEN131075:UEO131075 TUR131075:TUS131075 TKV131075:TKW131075 TAZ131075:TBA131075 SRD131075:SRE131075 SHH131075:SHI131075 RXL131075:RXM131075 RNP131075:RNQ131075 RDT131075:RDU131075 QTX131075:QTY131075 QKB131075:QKC131075 QAF131075:QAG131075 PQJ131075:PQK131075 PGN131075:PGO131075 OWR131075:OWS131075 OMV131075:OMW131075 OCZ131075:ODA131075 NTD131075:NTE131075 NJH131075:NJI131075 MZL131075:MZM131075 MPP131075:MPQ131075 MFT131075:MFU131075 LVX131075:LVY131075 LMB131075:LMC131075 LCF131075:LCG131075 KSJ131075:KSK131075 KIN131075:KIO131075 JYR131075:JYS131075 JOV131075:JOW131075 JEZ131075:JFA131075 IVD131075:IVE131075 ILH131075:ILI131075 IBL131075:IBM131075 HRP131075:HRQ131075 HHT131075:HHU131075 GXX131075:GXY131075 GOB131075:GOC131075 GEF131075:GEG131075 FUJ131075:FUK131075 FKN131075:FKO131075 FAR131075:FAS131075 EQV131075:EQW131075 EGZ131075:EHA131075 DXD131075:DXE131075 DNH131075:DNI131075 DDL131075:DDM131075 CTP131075:CTQ131075 CJT131075:CJU131075 BZX131075:BZY131075 BQB131075:BQC131075 BGF131075:BGG131075 AWJ131075:AWK131075 AMN131075:AMO131075 ACR131075:ACS131075 SV131075:SW131075 IZ131075:JA131075 D131075:E131075 WVL65539:WVM65539 WLP65539:WLQ65539 WBT65539:WBU65539 VRX65539:VRY65539 VIB65539:VIC65539 UYF65539:UYG65539 UOJ65539:UOK65539 UEN65539:UEO65539 TUR65539:TUS65539 TKV65539:TKW65539 TAZ65539:TBA65539 SRD65539:SRE65539 SHH65539:SHI65539 RXL65539:RXM65539 RNP65539:RNQ65539 RDT65539:RDU65539 QTX65539:QTY65539 QKB65539:QKC65539 QAF65539:QAG65539 PQJ65539:PQK65539 PGN65539:PGO65539 OWR65539:OWS65539 OMV65539:OMW65539 OCZ65539:ODA65539 NTD65539:NTE65539 NJH65539:NJI65539 MZL65539:MZM65539 MPP65539:MPQ65539 MFT65539:MFU65539 LVX65539:LVY65539 LMB65539:LMC65539 LCF65539:LCG65539 KSJ65539:KSK65539 KIN65539:KIO65539 JYR65539:JYS65539 JOV65539:JOW65539 JEZ65539:JFA65539 IVD65539:IVE65539 ILH65539:ILI65539 IBL65539:IBM65539 HRP65539:HRQ65539 HHT65539:HHU65539 GXX65539:GXY65539 GOB65539:GOC65539 GEF65539:GEG65539 FUJ65539:FUK65539 FKN65539:FKO65539 FAR65539:FAS65539 EQV65539:EQW65539 EGZ65539:EHA65539 DXD65539:DXE65539 DNH65539:DNI65539 DDL65539:DDM65539 CTP65539:CTQ65539 CJT65539:CJU65539 BZX65539:BZY65539 BQB65539:BQC65539 BGF65539:BGG65539 AWJ65539:AWK65539 AMN65539:AMO65539 ACR65539:ACS65539 SV65539:SW65539 IZ65539:JA65539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D13:E13">
      <formula1>$C$136:$C$145</formula1>
    </dataValidation>
    <dataValidation type="list" allowBlank="1" showInputMessage="1" showErrorMessage="1" sqref="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formula1>"&lt;select from list&gt;, Yes, No"</formula1>
    </dataValidation>
    <dataValidation type="textLength" operator="lessThanOrEqual" allowBlank="1" showInputMessage="1" showErrorMessage="1" errorTitle="Description is to long!" error="Maximum of 250 characters.  Please shorten the length of the description." sqref="D65532 IZ65532 SV65532 ACR65532 AMN65532 AWJ65532 BGF65532 BQB65532 BZX65532 CJT65532 CTP65532 DDL65532 DNH65532 DXD65532 EGZ65532 EQV65532 FAR65532 FKN65532 FUJ65532 GEF65532 GOB65532 GXX65532 HHT65532 HRP65532 IBL65532 ILH65532 IVD65532 JEZ65532 JOV65532 JYR65532 KIN65532 KSJ65532 LCF65532 LMB65532 LVX65532 MFT65532 MPP65532 MZL65532 NJH65532 NTD65532 OCZ65532 OMV65532 OWR65532 PGN65532 PQJ65532 QAF65532 QKB65532 QTX65532 RDT65532 RNP65532 RXL65532 SHH65532 SRD65532 TAZ65532 TKV65532 TUR65532 UEN65532 UOJ65532 UYF65532 VIB65532 VRX65532 WBT65532 WLP65532 WVL65532 D131068 IZ131068 SV131068 ACR131068 AMN131068 AWJ131068 BGF131068 BQB131068 BZX131068 CJT131068 CTP131068 DDL131068 DNH131068 DXD131068 EGZ131068 EQV131068 FAR131068 FKN131068 FUJ131068 GEF131068 GOB131068 GXX131068 HHT131068 HRP131068 IBL131068 ILH131068 IVD131068 JEZ131068 JOV131068 JYR131068 KIN131068 KSJ131068 LCF131068 LMB131068 LVX131068 MFT131068 MPP131068 MZL131068 NJH131068 NTD131068 OCZ131068 OMV131068 OWR131068 PGN131068 PQJ131068 QAF131068 QKB131068 QTX131068 RDT131068 RNP131068 RXL131068 SHH131068 SRD131068 TAZ131068 TKV131068 TUR131068 UEN131068 UOJ131068 UYF131068 VIB131068 VRX131068 WBT131068 WLP131068 WVL131068 D196604 IZ196604 SV196604 ACR196604 AMN196604 AWJ196604 BGF196604 BQB196604 BZX196604 CJT196604 CTP196604 DDL196604 DNH196604 DXD196604 EGZ196604 EQV196604 FAR196604 FKN196604 FUJ196604 GEF196604 GOB196604 GXX196604 HHT196604 HRP196604 IBL196604 ILH196604 IVD196604 JEZ196604 JOV196604 JYR196604 KIN196604 KSJ196604 LCF196604 LMB196604 LVX196604 MFT196604 MPP196604 MZL196604 NJH196604 NTD196604 OCZ196604 OMV196604 OWR196604 PGN196604 PQJ196604 QAF196604 QKB196604 QTX196604 RDT196604 RNP196604 RXL196604 SHH196604 SRD196604 TAZ196604 TKV196604 TUR196604 UEN196604 UOJ196604 UYF196604 VIB196604 VRX196604 WBT196604 WLP196604 WVL196604 D262140 IZ262140 SV262140 ACR262140 AMN262140 AWJ262140 BGF262140 BQB262140 BZX262140 CJT262140 CTP262140 DDL262140 DNH262140 DXD262140 EGZ262140 EQV262140 FAR262140 FKN262140 FUJ262140 GEF262140 GOB262140 GXX262140 HHT262140 HRP262140 IBL262140 ILH262140 IVD262140 JEZ262140 JOV262140 JYR262140 KIN262140 KSJ262140 LCF262140 LMB262140 LVX262140 MFT262140 MPP262140 MZL262140 NJH262140 NTD262140 OCZ262140 OMV262140 OWR262140 PGN262140 PQJ262140 QAF262140 QKB262140 QTX262140 RDT262140 RNP262140 RXL262140 SHH262140 SRD262140 TAZ262140 TKV262140 TUR262140 UEN262140 UOJ262140 UYF262140 VIB262140 VRX262140 WBT262140 WLP262140 WVL262140 D327676 IZ327676 SV327676 ACR327676 AMN327676 AWJ327676 BGF327676 BQB327676 BZX327676 CJT327676 CTP327676 DDL327676 DNH327676 DXD327676 EGZ327676 EQV327676 FAR327676 FKN327676 FUJ327676 GEF327676 GOB327676 GXX327676 HHT327676 HRP327676 IBL327676 ILH327676 IVD327676 JEZ327676 JOV327676 JYR327676 KIN327676 KSJ327676 LCF327676 LMB327676 LVX327676 MFT327676 MPP327676 MZL327676 NJH327676 NTD327676 OCZ327676 OMV327676 OWR327676 PGN327676 PQJ327676 QAF327676 QKB327676 QTX327676 RDT327676 RNP327676 RXL327676 SHH327676 SRD327676 TAZ327676 TKV327676 TUR327676 UEN327676 UOJ327676 UYF327676 VIB327676 VRX327676 WBT327676 WLP327676 WVL327676 D393212 IZ393212 SV393212 ACR393212 AMN393212 AWJ393212 BGF393212 BQB393212 BZX393212 CJT393212 CTP393212 DDL393212 DNH393212 DXD393212 EGZ393212 EQV393212 FAR393212 FKN393212 FUJ393212 GEF393212 GOB393212 GXX393212 HHT393212 HRP393212 IBL393212 ILH393212 IVD393212 JEZ393212 JOV393212 JYR393212 KIN393212 KSJ393212 LCF393212 LMB393212 LVX393212 MFT393212 MPP393212 MZL393212 NJH393212 NTD393212 OCZ393212 OMV393212 OWR393212 PGN393212 PQJ393212 QAF393212 QKB393212 QTX393212 RDT393212 RNP393212 RXL393212 SHH393212 SRD393212 TAZ393212 TKV393212 TUR393212 UEN393212 UOJ393212 UYF393212 VIB393212 VRX393212 WBT393212 WLP393212 WVL393212 D458748 IZ458748 SV458748 ACR458748 AMN458748 AWJ458748 BGF458748 BQB458748 BZX458748 CJT458748 CTP458748 DDL458748 DNH458748 DXD458748 EGZ458748 EQV458748 FAR458748 FKN458748 FUJ458748 GEF458748 GOB458748 GXX458748 HHT458748 HRP458748 IBL458748 ILH458748 IVD458748 JEZ458748 JOV458748 JYR458748 KIN458748 KSJ458748 LCF458748 LMB458748 LVX458748 MFT458748 MPP458748 MZL458748 NJH458748 NTD458748 OCZ458748 OMV458748 OWR458748 PGN458748 PQJ458748 QAF458748 QKB458748 QTX458748 RDT458748 RNP458748 RXL458748 SHH458748 SRD458748 TAZ458748 TKV458748 TUR458748 UEN458748 UOJ458748 UYF458748 VIB458748 VRX458748 WBT458748 WLP458748 WVL458748 D524284 IZ524284 SV524284 ACR524284 AMN524284 AWJ524284 BGF524284 BQB524284 BZX524284 CJT524284 CTP524284 DDL524284 DNH524284 DXD524284 EGZ524284 EQV524284 FAR524284 FKN524284 FUJ524284 GEF524284 GOB524284 GXX524284 HHT524284 HRP524284 IBL524284 ILH524284 IVD524284 JEZ524284 JOV524284 JYR524284 KIN524284 KSJ524284 LCF524284 LMB524284 LVX524284 MFT524284 MPP524284 MZL524284 NJH524284 NTD524284 OCZ524284 OMV524284 OWR524284 PGN524284 PQJ524284 QAF524284 QKB524284 QTX524284 RDT524284 RNP524284 RXL524284 SHH524284 SRD524284 TAZ524284 TKV524284 TUR524284 UEN524284 UOJ524284 UYF524284 VIB524284 VRX524284 WBT524284 WLP524284 WVL524284 D589820 IZ589820 SV589820 ACR589820 AMN589820 AWJ589820 BGF589820 BQB589820 BZX589820 CJT589820 CTP589820 DDL589820 DNH589820 DXD589820 EGZ589820 EQV589820 FAR589820 FKN589820 FUJ589820 GEF589820 GOB589820 GXX589820 HHT589820 HRP589820 IBL589820 ILH589820 IVD589820 JEZ589820 JOV589820 JYR589820 KIN589820 KSJ589820 LCF589820 LMB589820 LVX589820 MFT589820 MPP589820 MZL589820 NJH589820 NTD589820 OCZ589820 OMV589820 OWR589820 PGN589820 PQJ589820 QAF589820 QKB589820 QTX589820 RDT589820 RNP589820 RXL589820 SHH589820 SRD589820 TAZ589820 TKV589820 TUR589820 UEN589820 UOJ589820 UYF589820 VIB589820 VRX589820 WBT589820 WLP589820 WVL589820 D655356 IZ655356 SV655356 ACR655356 AMN655356 AWJ655356 BGF655356 BQB655356 BZX655356 CJT655356 CTP655356 DDL655356 DNH655356 DXD655356 EGZ655356 EQV655356 FAR655356 FKN655356 FUJ655356 GEF655356 GOB655356 GXX655356 HHT655356 HRP655356 IBL655356 ILH655356 IVD655356 JEZ655356 JOV655356 JYR655356 KIN655356 KSJ655356 LCF655356 LMB655356 LVX655356 MFT655356 MPP655356 MZL655356 NJH655356 NTD655356 OCZ655356 OMV655356 OWR655356 PGN655356 PQJ655356 QAF655356 QKB655356 QTX655356 RDT655356 RNP655356 RXL655356 SHH655356 SRD655356 TAZ655356 TKV655356 TUR655356 UEN655356 UOJ655356 UYF655356 VIB655356 VRX655356 WBT655356 WLP655356 WVL655356 D720892 IZ720892 SV720892 ACR720892 AMN720892 AWJ720892 BGF720892 BQB720892 BZX720892 CJT720892 CTP720892 DDL720892 DNH720892 DXD720892 EGZ720892 EQV720892 FAR720892 FKN720892 FUJ720892 GEF720892 GOB720892 GXX720892 HHT720892 HRP720892 IBL720892 ILH720892 IVD720892 JEZ720892 JOV720892 JYR720892 KIN720892 KSJ720892 LCF720892 LMB720892 LVX720892 MFT720892 MPP720892 MZL720892 NJH720892 NTD720892 OCZ720892 OMV720892 OWR720892 PGN720892 PQJ720892 QAF720892 QKB720892 QTX720892 RDT720892 RNP720892 RXL720892 SHH720892 SRD720892 TAZ720892 TKV720892 TUR720892 UEN720892 UOJ720892 UYF720892 VIB720892 VRX720892 WBT720892 WLP720892 WVL720892 D786428 IZ786428 SV786428 ACR786428 AMN786428 AWJ786428 BGF786428 BQB786428 BZX786428 CJT786428 CTP786428 DDL786428 DNH786428 DXD786428 EGZ786428 EQV786428 FAR786428 FKN786428 FUJ786428 GEF786428 GOB786428 GXX786428 HHT786428 HRP786428 IBL786428 ILH786428 IVD786428 JEZ786428 JOV786428 JYR786428 KIN786428 KSJ786428 LCF786428 LMB786428 LVX786428 MFT786428 MPP786428 MZL786428 NJH786428 NTD786428 OCZ786428 OMV786428 OWR786428 PGN786428 PQJ786428 QAF786428 QKB786428 QTX786428 RDT786428 RNP786428 RXL786428 SHH786428 SRD786428 TAZ786428 TKV786428 TUR786428 UEN786428 UOJ786428 UYF786428 VIB786428 VRX786428 WBT786428 WLP786428 WVL786428 D851964 IZ851964 SV851964 ACR851964 AMN851964 AWJ851964 BGF851964 BQB851964 BZX851964 CJT851964 CTP851964 DDL851964 DNH851964 DXD851964 EGZ851964 EQV851964 FAR851964 FKN851964 FUJ851964 GEF851964 GOB851964 GXX851964 HHT851964 HRP851964 IBL851964 ILH851964 IVD851964 JEZ851964 JOV851964 JYR851964 KIN851964 KSJ851964 LCF851964 LMB851964 LVX851964 MFT851964 MPP851964 MZL851964 NJH851964 NTD851964 OCZ851964 OMV851964 OWR851964 PGN851964 PQJ851964 QAF851964 QKB851964 QTX851964 RDT851964 RNP851964 RXL851964 SHH851964 SRD851964 TAZ851964 TKV851964 TUR851964 UEN851964 UOJ851964 UYF851964 VIB851964 VRX851964 WBT851964 WLP851964 WVL851964 D917500 IZ917500 SV917500 ACR917500 AMN917500 AWJ917500 BGF917500 BQB917500 BZX917500 CJT917500 CTP917500 DDL917500 DNH917500 DXD917500 EGZ917500 EQV917500 FAR917500 FKN917500 FUJ917500 GEF917500 GOB917500 GXX917500 HHT917500 HRP917500 IBL917500 ILH917500 IVD917500 JEZ917500 JOV917500 JYR917500 KIN917500 KSJ917500 LCF917500 LMB917500 LVX917500 MFT917500 MPP917500 MZL917500 NJH917500 NTD917500 OCZ917500 OMV917500 OWR917500 PGN917500 PQJ917500 QAF917500 QKB917500 QTX917500 RDT917500 RNP917500 RXL917500 SHH917500 SRD917500 TAZ917500 TKV917500 TUR917500 UEN917500 UOJ917500 UYF917500 VIB917500 VRX917500 WBT917500 WLP917500 WVL917500 D983036 IZ983036 SV983036 ACR983036 AMN983036 AWJ983036 BGF983036 BQB983036 BZX983036 CJT983036 CTP983036 DDL983036 DNH983036 DXD983036 EGZ983036 EQV983036 FAR983036 FKN983036 FUJ983036 GEF983036 GOB983036 GXX983036 HHT983036 HRP983036 IBL983036 ILH983036 IVD983036 JEZ983036 JOV983036 JYR983036 KIN983036 KSJ983036 LCF983036 LMB983036 LVX983036 MFT983036 MPP983036 MZL983036 NJH983036 NTD983036 OCZ983036 OMV983036 OWR983036 PGN983036 PQJ983036 QAF983036 QKB983036 QTX983036 RDT983036 RNP983036 RXL983036 SHH983036 SRD983036 TAZ983036 TKV983036 TUR983036 UEN983036 UOJ983036 UYF983036 VIB983036 VRX983036 WBT983036 WLP983036 WVL983036 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formula1>250</formula1>
    </dataValidation>
    <dataValidation type="list" allowBlank="1" showInputMessage="1" showErrorMessage="1" sqref="WVS983064:WVS983071 WCA983064:WCA983071 VSE983064:VSE983071 VII983064:VII983071 UYM983064:UYM983071 UOQ983064:UOQ983071 UEU983064:UEU983071 TUY983064:TUY983071 TLC983064:TLC983071 TBG983064:TBG983071 SRK983064:SRK983071 SHO983064:SHO983071 RXS983064:RXS983071 RNW983064:RNW983071 REA983064:REA983071 QUE983064:QUE983071 QKI983064:QKI983071 QAM983064:QAM983071 PQQ983064:PQQ983071 PGU983064:PGU983071 OWY983064:OWY983071 ONC983064:ONC983071 ODG983064:ODG983071 NTK983064:NTK983071 NJO983064:NJO983071 MZS983064:MZS983071 MPW983064:MPW983071 MGA983064:MGA983071 LWE983064:LWE983071 LMI983064:LMI983071 LCM983064:LCM983071 KSQ983064:KSQ983071 KIU983064:KIU983071 JYY983064:JYY983071 JPC983064:JPC983071 JFG983064:JFG983071 IVK983064:IVK983071 ILO983064:ILO983071 IBS983064:IBS983071 HRW983064:HRW983071 HIA983064:HIA983071 GYE983064:GYE983071 GOI983064:GOI983071 GEM983064:GEM983071 FUQ983064:FUQ983071 FKU983064:FKU983071 FAY983064:FAY983071 ERC983064:ERC983071 EHG983064:EHG983071 DXK983064:DXK983071 DNO983064:DNO983071 DDS983064:DDS983071 CTW983064:CTW983071 CKA983064:CKA983071 CAE983064:CAE983071 BQI983064:BQI983071 BGM983064:BGM983071 AWQ983064:AWQ983071 AMU983064:AMU983071 ACY983064:ACY983071 TC983064:TC983071 JG983064:JG983071 K983064:K983071 WVS917528:WVS917535 WLW917528:WLW917535 WCA917528:WCA917535 VSE917528:VSE917535 VII917528:VII917535 UYM917528:UYM917535 UOQ917528:UOQ917535 UEU917528:UEU917535 TUY917528:TUY917535 TLC917528:TLC917535 TBG917528:TBG917535 SRK917528:SRK917535 SHO917528:SHO917535 RXS917528:RXS917535 RNW917528:RNW917535 REA917528:REA917535 QUE917528:QUE917535 QKI917528:QKI917535 QAM917528:QAM917535 PQQ917528:PQQ917535 PGU917528:PGU917535 OWY917528:OWY917535 ONC917528:ONC917535 ODG917528:ODG917535 NTK917528:NTK917535 NJO917528:NJO917535 MZS917528:MZS917535 MPW917528:MPW917535 MGA917528:MGA917535 LWE917528:LWE917535 LMI917528:LMI917535 LCM917528:LCM917535 KSQ917528:KSQ917535 KIU917528:KIU917535 JYY917528:JYY917535 JPC917528:JPC917535 JFG917528:JFG917535 IVK917528:IVK917535 ILO917528:ILO917535 IBS917528:IBS917535 HRW917528:HRW917535 HIA917528:HIA917535 GYE917528:GYE917535 GOI917528:GOI917535 GEM917528:GEM917535 FUQ917528:FUQ917535 FKU917528:FKU917535 FAY917528:FAY917535 ERC917528:ERC917535 EHG917528:EHG917535 DXK917528:DXK917535 DNO917528:DNO917535 DDS917528:DDS917535 CTW917528:CTW917535 CKA917528:CKA917535 CAE917528:CAE917535 BQI917528:BQI917535 BGM917528:BGM917535 AWQ917528:AWQ917535 AMU917528:AMU917535 ACY917528:ACY917535 TC917528:TC917535 JG917528:JG917535 K917528:K917535 WVS851992:WVS851999 WLW851992:WLW851999 WCA851992:WCA851999 VSE851992:VSE851999 VII851992:VII851999 UYM851992:UYM851999 UOQ851992:UOQ851999 UEU851992:UEU851999 TUY851992:TUY851999 TLC851992:TLC851999 TBG851992:TBG851999 SRK851992:SRK851999 SHO851992:SHO851999 RXS851992:RXS851999 RNW851992:RNW851999 REA851992:REA851999 QUE851992:QUE851999 QKI851992:QKI851999 QAM851992:QAM851999 PQQ851992:PQQ851999 PGU851992:PGU851999 OWY851992:OWY851999 ONC851992:ONC851999 ODG851992:ODG851999 NTK851992:NTK851999 NJO851992:NJO851999 MZS851992:MZS851999 MPW851992:MPW851999 MGA851992:MGA851999 LWE851992:LWE851999 LMI851992:LMI851999 LCM851992:LCM851999 KSQ851992:KSQ851999 KIU851992:KIU851999 JYY851992:JYY851999 JPC851992:JPC851999 JFG851992:JFG851999 IVK851992:IVK851999 ILO851992:ILO851999 IBS851992:IBS851999 HRW851992:HRW851999 HIA851992:HIA851999 GYE851992:GYE851999 GOI851992:GOI851999 GEM851992:GEM851999 FUQ851992:FUQ851999 FKU851992:FKU851999 FAY851992:FAY851999 ERC851992:ERC851999 EHG851992:EHG851999 DXK851992:DXK851999 DNO851992:DNO851999 DDS851992:DDS851999 CTW851992:CTW851999 CKA851992:CKA851999 CAE851992:CAE851999 BQI851992:BQI851999 BGM851992:BGM851999 AWQ851992:AWQ851999 AMU851992:AMU851999 ACY851992:ACY851999 TC851992:TC851999 JG851992:JG851999 K851992:K851999 WVS786456:WVS786463 WLW786456:WLW786463 WCA786456:WCA786463 VSE786456:VSE786463 VII786456:VII786463 UYM786456:UYM786463 UOQ786456:UOQ786463 UEU786456:UEU786463 TUY786456:TUY786463 TLC786456:TLC786463 TBG786456:TBG786463 SRK786456:SRK786463 SHO786456:SHO786463 RXS786456:RXS786463 RNW786456:RNW786463 REA786456:REA786463 QUE786456:QUE786463 QKI786456:QKI786463 QAM786456:QAM786463 PQQ786456:PQQ786463 PGU786456:PGU786463 OWY786456:OWY786463 ONC786456:ONC786463 ODG786456:ODG786463 NTK786456:NTK786463 NJO786456:NJO786463 MZS786456:MZS786463 MPW786456:MPW786463 MGA786456:MGA786463 LWE786456:LWE786463 LMI786456:LMI786463 LCM786456:LCM786463 KSQ786456:KSQ786463 KIU786456:KIU786463 JYY786456:JYY786463 JPC786456:JPC786463 JFG786456:JFG786463 IVK786456:IVK786463 ILO786456:ILO786463 IBS786456:IBS786463 HRW786456:HRW786463 HIA786456:HIA786463 GYE786456:GYE786463 GOI786456:GOI786463 GEM786456:GEM786463 FUQ786456:FUQ786463 FKU786456:FKU786463 FAY786456:FAY786463 ERC786456:ERC786463 EHG786456:EHG786463 DXK786456:DXK786463 DNO786456:DNO786463 DDS786456:DDS786463 CTW786456:CTW786463 CKA786456:CKA786463 CAE786456:CAE786463 BQI786456:BQI786463 BGM786456:BGM786463 AWQ786456:AWQ786463 AMU786456:AMU786463 ACY786456:ACY786463 TC786456:TC786463 JG786456:JG786463 K786456:K786463 WVS720920:WVS720927 WLW720920:WLW720927 WCA720920:WCA720927 VSE720920:VSE720927 VII720920:VII720927 UYM720920:UYM720927 UOQ720920:UOQ720927 UEU720920:UEU720927 TUY720920:TUY720927 TLC720920:TLC720927 TBG720920:TBG720927 SRK720920:SRK720927 SHO720920:SHO720927 RXS720920:RXS720927 RNW720920:RNW720927 REA720920:REA720927 QUE720920:QUE720927 QKI720920:QKI720927 QAM720920:QAM720927 PQQ720920:PQQ720927 PGU720920:PGU720927 OWY720920:OWY720927 ONC720920:ONC720927 ODG720920:ODG720927 NTK720920:NTK720927 NJO720920:NJO720927 MZS720920:MZS720927 MPW720920:MPW720927 MGA720920:MGA720927 LWE720920:LWE720927 LMI720920:LMI720927 LCM720920:LCM720927 KSQ720920:KSQ720927 KIU720920:KIU720927 JYY720920:JYY720927 JPC720920:JPC720927 JFG720920:JFG720927 IVK720920:IVK720927 ILO720920:ILO720927 IBS720920:IBS720927 HRW720920:HRW720927 HIA720920:HIA720927 GYE720920:GYE720927 GOI720920:GOI720927 GEM720920:GEM720927 FUQ720920:FUQ720927 FKU720920:FKU720927 FAY720920:FAY720927 ERC720920:ERC720927 EHG720920:EHG720927 DXK720920:DXK720927 DNO720920:DNO720927 DDS720920:DDS720927 CTW720920:CTW720927 CKA720920:CKA720927 CAE720920:CAE720927 BQI720920:BQI720927 BGM720920:BGM720927 AWQ720920:AWQ720927 AMU720920:AMU720927 ACY720920:ACY720927 TC720920:TC720927 JG720920:JG720927 K720920:K720927 WVS655384:WVS655391 WLW655384:WLW655391 WCA655384:WCA655391 VSE655384:VSE655391 VII655384:VII655391 UYM655384:UYM655391 UOQ655384:UOQ655391 UEU655384:UEU655391 TUY655384:TUY655391 TLC655384:TLC655391 TBG655384:TBG655391 SRK655384:SRK655391 SHO655384:SHO655391 RXS655384:RXS655391 RNW655384:RNW655391 REA655384:REA655391 QUE655384:QUE655391 QKI655384:QKI655391 QAM655384:QAM655391 PQQ655384:PQQ655391 PGU655384:PGU655391 OWY655384:OWY655391 ONC655384:ONC655391 ODG655384:ODG655391 NTK655384:NTK655391 NJO655384:NJO655391 MZS655384:MZS655391 MPW655384:MPW655391 MGA655384:MGA655391 LWE655384:LWE655391 LMI655384:LMI655391 LCM655384:LCM655391 KSQ655384:KSQ655391 KIU655384:KIU655391 JYY655384:JYY655391 JPC655384:JPC655391 JFG655384:JFG655391 IVK655384:IVK655391 ILO655384:ILO655391 IBS655384:IBS655391 HRW655384:HRW655391 HIA655384:HIA655391 GYE655384:GYE655391 GOI655384:GOI655391 GEM655384:GEM655391 FUQ655384:FUQ655391 FKU655384:FKU655391 FAY655384:FAY655391 ERC655384:ERC655391 EHG655384:EHG655391 DXK655384:DXK655391 DNO655384:DNO655391 DDS655384:DDS655391 CTW655384:CTW655391 CKA655384:CKA655391 CAE655384:CAE655391 BQI655384:BQI655391 BGM655384:BGM655391 AWQ655384:AWQ655391 AMU655384:AMU655391 ACY655384:ACY655391 TC655384:TC655391 JG655384:JG655391 K655384:K655391 WVS589848:WVS589855 WLW589848:WLW589855 WCA589848:WCA589855 VSE589848:VSE589855 VII589848:VII589855 UYM589848:UYM589855 UOQ589848:UOQ589855 UEU589848:UEU589855 TUY589848:TUY589855 TLC589848:TLC589855 TBG589848:TBG589855 SRK589848:SRK589855 SHO589848:SHO589855 RXS589848:RXS589855 RNW589848:RNW589855 REA589848:REA589855 QUE589848:QUE589855 QKI589848:QKI589855 QAM589848:QAM589855 PQQ589848:PQQ589855 PGU589848:PGU589855 OWY589848:OWY589855 ONC589848:ONC589855 ODG589848:ODG589855 NTK589848:NTK589855 NJO589848:NJO589855 MZS589848:MZS589855 MPW589848:MPW589855 MGA589848:MGA589855 LWE589848:LWE589855 LMI589848:LMI589855 LCM589848:LCM589855 KSQ589848:KSQ589855 KIU589848:KIU589855 JYY589848:JYY589855 JPC589848:JPC589855 JFG589848:JFG589855 IVK589848:IVK589855 ILO589848:ILO589855 IBS589848:IBS589855 HRW589848:HRW589855 HIA589848:HIA589855 GYE589848:GYE589855 GOI589848:GOI589855 GEM589848:GEM589855 FUQ589848:FUQ589855 FKU589848:FKU589855 FAY589848:FAY589855 ERC589848:ERC589855 EHG589848:EHG589855 DXK589848:DXK589855 DNO589848:DNO589855 DDS589848:DDS589855 CTW589848:CTW589855 CKA589848:CKA589855 CAE589848:CAE589855 BQI589848:BQI589855 BGM589848:BGM589855 AWQ589848:AWQ589855 AMU589848:AMU589855 ACY589848:ACY589855 TC589848:TC589855 JG589848:JG589855 K589848:K589855 WVS524312:WVS524319 WLW524312:WLW524319 WCA524312:WCA524319 VSE524312:VSE524319 VII524312:VII524319 UYM524312:UYM524319 UOQ524312:UOQ524319 UEU524312:UEU524319 TUY524312:TUY524319 TLC524312:TLC524319 TBG524312:TBG524319 SRK524312:SRK524319 SHO524312:SHO524319 RXS524312:RXS524319 RNW524312:RNW524319 REA524312:REA524319 QUE524312:QUE524319 QKI524312:QKI524319 QAM524312:QAM524319 PQQ524312:PQQ524319 PGU524312:PGU524319 OWY524312:OWY524319 ONC524312:ONC524319 ODG524312:ODG524319 NTK524312:NTK524319 NJO524312:NJO524319 MZS524312:MZS524319 MPW524312:MPW524319 MGA524312:MGA524319 LWE524312:LWE524319 LMI524312:LMI524319 LCM524312:LCM524319 KSQ524312:KSQ524319 KIU524312:KIU524319 JYY524312:JYY524319 JPC524312:JPC524319 JFG524312:JFG524319 IVK524312:IVK524319 ILO524312:ILO524319 IBS524312:IBS524319 HRW524312:HRW524319 HIA524312:HIA524319 GYE524312:GYE524319 GOI524312:GOI524319 GEM524312:GEM524319 FUQ524312:FUQ524319 FKU524312:FKU524319 FAY524312:FAY524319 ERC524312:ERC524319 EHG524312:EHG524319 DXK524312:DXK524319 DNO524312:DNO524319 DDS524312:DDS524319 CTW524312:CTW524319 CKA524312:CKA524319 CAE524312:CAE524319 BQI524312:BQI524319 BGM524312:BGM524319 AWQ524312:AWQ524319 AMU524312:AMU524319 ACY524312:ACY524319 TC524312:TC524319 JG524312:JG524319 K524312:K524319 WVS458776:WVS458783 WLW458776:WLW458783 WCA458776:WCA458783 VSE458776:VSE458783 VII458776:VII458783 UYM458776:UYM458783 UOQ458776:UOQ458783 UEU458776:UEU458783 TUY458776:TUY458783 TLC458776:TLC458783 TBG458776:TBG458783 SRK458776:SRK458783 SHO458776:SHO458783 RXS458776:RXS458783 RNW458776:RNW458783 REA458776:REA458783 QUE458776:QUE458783 QKI458776:QKI458783 QAM458776:QAM458783 PQQ458776:PQQ458783 PGU458776:PGU458783 OWY458776:OWY458783 ONC458776:ONC458783 ODG458776:ODG458783 NTK458776:NTK458783 NJO458776:NJO458783 MZS458776:MZS458783 MPW458776:MPW458783 MGA458776:MGA458783 LWE458776:LWE458783 LMI458776:LMI458783 LCM458776:LCM458783 KSQ458776:KSQ458783 KIU458776:KIU458783 JYY458776:JYY458783 JPC458776:JPC458783 JFG458776:JFG458783 IVK458776:IVK458783 ILO458776:ILO458783 IBS458776:IBS458783 HRW458776:HRW458783 HIA458776:HIA458783 GYE458776:GYE458783 GOI458776:GOI458783 GEM458776:GEM458783 FUQ458776:FUQ458783 FKU458776:FKU458783 FAY458776:FAY458783 ERC458776:ERC458783 EHG458776:EHG458783 DXK458776:DXK458783 DNO458776:DNO458783 DDS458776:DDS458783 CTW458776:CTW458783 CKA458776:CKA458783 CAE458776:CAE458783 BQI458776:BQI458783 BGM458776:BGM458783 AWQ458776:AWQ458783 AMU458776:AMU458783 ACY458776:ACY458783 TC458776:TC458783 JG458776:JG458783 K458776:K458783 WVS393240:WVS393247 WLW393240:WLW393247 WCA393240:WCA393247 VSE393240:VSE393247 VII393240:VII393247 UYM393240:UYM393247 UOQ393240:UOQ393247 UEU393240:UEU393247 TUY393240:TUY393247 TLC393240:TLC393247 TBG393240:TBG393247 SRK393240:SRK393247 SHO393240:SHO393247 RXS393240:RXS393247 RNW393240:RNW393247 REA393240:REA393247 QUE393240:QUE393247 QKI393240:QKI393247 QAM393240:QAM393247 PQQ393240:PQQ393247 PGU393240:PGU393247 OWY393240:OWY393247 ONC393240:ONC393247 ODG393240:ODG393247 NTK393240:NTK393247 NJO393240:NJO393247 MZS393240:MZS393247 MPW393240:MPW393247 MGA393240:MGA393247 LWE393240:LWE393247 LMI393240:LMI393247 LCM393240:LCM393247 KSQ393240:KSQ393247 KIU393240:KIU393247 JYY393240:JYY393247 JPC393240:JPC393247 JFG393240:JFG393247 IVK393240:IVK393247 ILO393240:ILO393247 IBS393240:IBS393247 HRW393240:HRW393247 HIA393240:HIA393247 GYE393240:GYE393247 GOI393240:GOI393247 GEM393240:GEM393247 FUQ393240:FUQ393247 FKU393240:FKU393247 FAY393240:FAY393247 ERC393240:ERC393247 EHG393240:EHG393247 DXK393240:DXK393247 DNO393240:DNO393247 DDS393240:DDS393247 CTW393240:CTW393247 CKA393240:CKA393247 CAE393240:CAE393247 BQI393240:BQI393247 BGM393240:BGM393247 AWQ393240:AWQ393247 AMU393240:AMU393247 ACY393240:ACY393247 TC393240:TC393247 JG393240:JG393247 K393240:K393247 WVS327704:WVS327711 WLW327704:WLW327711 WCA327704:WCA327711 VSE327704:VSE327711 VII327704:VII327711 UYM327704:UYM327711 UOQ327704:UOQ327711 UEU327704:UEU327711 TUY327704:TUY327711 TLC327704:TLC327711 TBG327704:TBG327711 SRK327704:SRK327711 SHO327704:SHO327711 RXS327704:RXS327711 RNW327704:RNW327711 REA327704:REA327711 QUE327704:QUE327711 QKI327704:QKI327711 QAM327704:QAM327711 PQQ327704:PQQ327711 PGU327704:PGU327711 OWY327704:OWY327711 ONC327704:ONC327711 ODG327704:ODG327711 NTK327704:NTK327711 NJO327704:NJO327711 MZS327704:MZS327711 MPW327704:MPW327711 MGA327704:MGA327711 LWE327704:LWE327711 LMI327704:LMI327711 LCM327704:LCM327711 KSQ327704:KSQ327711 KIU327704:KIU327711 JYY327704:JYY327711 JPC327704:JPC327711 JFG327704:JFG327711 IVK327704:IVK327711 ILO327704:ILO327711 IBS327704:IBS327711 HRW327704:HRW327711 HIA327704:HIA327711 GYE327704:GYE327711 GOI327704:GOI327711 GEM327704:GEM327711 FUQ327704:FUQ327711 FKU327704:FKU327711 FAY327704:FAY327711 ERC327704:ERC327711 EHG327704:EHG327711 DXK327704:DXK327711 DNO327704:DNO327711 DDS327704:DDS327711 CTW327704:CTW327711 CKA327704:CKA327711 CAE327704:CAE327711 BQI327704:BQI327711 BGM327704:BGM327711 AWQ327704:AWQ327711 AMU327704:AMU327711 ACY327704:ACY327711 TC327704:TC327711 JG327704:JG327711 K327704:K327711 WVS262168:WVS262175 WLW262168:WLW262175 WCA262168:WCA262175 VSE262168:VSE262175 VII262168:VII262175 UYM262168:UYM262175 UOQ262168:UOQ262175 UEU262168:UEU262175 TUY262168:TUY262175 TLC262168:TLC262175 TBG262168:TBG262175 SRK262168:SRK262175 SHO262168:SHO262175 RXS262168:RXS262175 RNW262168:RNW262175 REA262168:REA262175 QUE262168:QUE262175 QKI262168:QKI262175 QAM262168:QAM262175 PQQ262168:PQQ262175 PGU262168:PGU262175 OWY262168:OWY262175 ONC262168:ONC262175 ODG262168:ODG262175 NTK262168:NTK262175 NJO262168:NJO262175 MZS262168:MZS262175 MPW262168:MPW262175 MGA262168:MGA262175 LWE262168:LWE262175 LMI262168:LMI262175 LCM262168:LCM262175 KSQ262168:KSQ262175 KIU262168:KIU262175 JYY262168:JYY262175 JPC262168:JPC262175 JFG262168:JFG262175 IVK262168:IVK262175 ILO262168:ILO262175 IBS262168:IBS262175 HRW262168:HRW262175 HIA262168:HIA262175 GYE262168:GYE262175 GOI262168:GOI262175 GEM262168:GEM262175 FUQ262168:FUQ262175 FKU262168:FKU262175 FAY262168:FAY262175 ERC262168:ERC262175 EHG262168:EHG262175 DXK262168:DXK262175 DNO262168:DNO262175 DDS262168:DDS262175 CTW262168:CTW262175 CKA262168:CKA262175 CAE262168:CAE262175 BQI262168:BQI262175 BGM262168:BGM262175 AWQ262168:AWQ262175 AMU262168:AMU262175 ACY262168:ACY262175 TC262168:TC262175 JG262168:JG262175 K262168:K262175 WVS196632:WVS196639 WLW196632:WLW196639 WCA196632:WCA196639 VSE196632:VSE196639 VII196632:VII196639 UYM196632:UYM196639 UOQ196632:UOQ196639 UEU196632:UEU196639 TUY196632:TUY196639 TLC196632:TLC196639 TBG196632:TBG196639 SRK196632:SRK196639 SHO196632:SHO196639 RXS196632:RXS196639 RNW196632:RNW196639 REA196632:REA196639 QUE196632:QUE196639 QKI196632:QKI196639 QAM196632:QAM196639 PQQ196632:PQQ196639 PGU196632:PGU196639 OWY196632:OWY196639 ONC196632:ONC196639 ODG196632:ODG196639 NTK196632:NTK196639 NJO196632:NJO196639 MZS196632:MZS196639 MPW196632:MPW196639 MGA196632:MGA196639 LWE196632:LWE196639 LMI196632:LMI196639 LCM196632:LCM196639 KSQ196632:KSQ196639 KIU196632:KIU196639 JYY196632:JYY196639 JPC196632:JPC196639 JFG196632:JFG196639 IVK196632:IVK196639 ILO196632:ILO196639 IBS196632:IBS196639 HRW196632:HRW196639 HIA196632:HIA196639 GYE196632:GYE196639 GOI196632:GOI196639 GEM196632:GEM196639 FUQ196632:FUQ196639 FKU196632:FKU196639 FAY196632:FAY196639 ERC196632:ERC196639 EHG196632:EHG196639 DXK196632:DXK196639 DNO196632:DNO196639 DDS196632:DDS196639 CTW196632:CTW196639 CKA196632:CKA196639 CAE196632:CAE196639 BQI196632:BQI196639 BGM196632:BGM196639 AWQ196632:AWQ196639 AMU196632:AMU196639 ACY196632:ACY196639 TC196632:TC196639 JG196632:JG196639 K196632:K196639 WVS131096:WVS131103 WLW131096:WLW131103 WCA131096:WCA131103 VSE131096:VSE131103 VII131096:VII131103 UYM131096:UYM131103 UOQ131096:UOQ131103 UEU131096:UEU131103 TUY131096:TUY131103 TLC131096:TLC131103 TBG131096:TBG131103 SRK131096:SRK131103 SHO131096:SHO131103 RXS131096:RXS131103 RNW131096:RNW131103 REA131096:REA131103 QUE131096:QUE131103 QKI131096:QKI131103 QAM131096:QAM131103 PQQ131096:PQQ131103 PGU131096:PGU131103 OWY131096:OWY131103 ONC131096:ONC131103 ODG131096:ODG131103 NTK131096:NTK131103 NJO131096:NJO131103 MZS131096:MZS131103 MPW131096:MPW131103 MGA131096:MGA131103 LWE131096:LWE131103 LMI131096:LMI131103 LCM131096:LCM131103 KSQ131096:KSQ131103 KIU131096:KIU131103 JYY131096:JYY131103 JPC131096:JPC131103 JFG131096:JFG131103 IVK131096:IVK131103 ILO131096:ILO131103 IBS131096:IBS131103 HRW131096:HRW131103 HIA131096:HIA131103 GYE131096:GYE131103 GOI131096:GOI131103 GEM131096:GEM131103 FUQ131096:FUQ131103 FKU131096:FKU131103 FAY131096:FAY131103 ERC131096:ERC131103 EHG131096:EHG131103 DXK131096:DXK131103 DNO131096:DNO131103 DDS131096:DDS131103 CTW131096:CTW131103 CKA131096:CKA131103 CAE131096:CAE131103 BQI131096:BQI131103 BGM131096:BGM131103 AWQ131096:AWQ131103 AMU131096:AMU131103 ACY131096:ACY131103 TC131096:TC131103 JG131096:JG131103 K131096:K131103 WVS65560:WVS65567 WLW65560:WLW65567 WCA65560:WCA65567 VSE65560:VSE65567 VII65560:VII65567 UYM65560:UYM65567 UOQ65560:UOQ65567 UEU65560:UEU65567 TUY65560:TUY65567 TLC65560:TLC65567 TBG65560:TBG65567 SRK65560:SRK65567 SHO65560:SHO65567 RXS65560:RXS65567 RNW65560:RNW65567 REA65560:REA65567 QUE65560:QUE65567 QKI65560:QKI65567 QAM65560:QAM65567 PQQ65560:PQQ65567 PGU65560:PGU65567 OWY65560:OWY65567 ONC65560:ONC65567 ODG65560:ODG65567 NTK65560:NTK65567 NJO65560:NJO65567 MZS65560:MZS65567 MPW65560:MPW65567 MGA65560:MGA65567 LWE65560:LWE65567 LMI65560:LMI65567 LCM65560:LCM65567 KSQ65560:KSQ65567 KIU65560:KIU65567 JYY65560:JYY65567 JPC65560:JPC65567 JFG65560:JFG65567 IVK65560:IVK65567 ILO65560:ILO65567 IBS65560:IBS65567 HRW65560:HRW65567 HIA65560:HIA65567 GYE65560:GYE65567 GOI65560:GOI65567 GEM65560:GEM65567 FUQ65560:FUQ65567 FKU65560:FKU65567 FAY65560:FAY65567 ERC65560:ERC65567 EHG65560:EHG65567 DXK65560:DXK65567 DNO65560:DNO65567 DDS65560:DDS65567 CTW65560:CTW65567 CKA65560:CKA65567 CAE65560:CAE65567 BQI65560:BQI65567 BGM65560:BGM65567 AWQ65560:AWQ65567 AMU65560:AMU65567 ACY65560:ACY65567 TC65560:TC65567 JG65560:JG65567 K65560:K65567 WVS58:WVS67 WLW58:WLW67 WCA58:WCA67 VSE58:VSE67 VII58:VII67 UYM58:UYM67 UOQ58:UOQ67 UEU58:UEU67 TUY58:TUY67 TLC58:TLC67 TBG58:TBG67 SRK58:SRK67 SHO58:SHO67 RXS58:RXS67 RNW58:RNW67 REA58:REA67 QUE58:QUE67 QKI58:QKI67 QAM58:QAM67 PQQ58:PQQ67 PGU58:PGU67 OWY58:OWY67 ONC58:ONC67 ODG58:ODG67 NTK58:NTK67 NJO58:NJO67 MZS58:MZS67 MPW58:MPW67 MGA58:MGA67 LWE58:LWE67 LMI58:LMI67 LCM58:LCM67 KSQ58:KSQ67 KIU58:KIU67 JYY58:JYY67 JPC58:JPC67 JFG58:JFG67 IVK58:IVK67 ILO58:ILO67 IBS58:IBS67 HRW58:HRW67 HIA58:HIA67 GYE58:GYE67 GOI58:GOI67 GEM58:GEM67 FUQ58:FUQ67 FKU58:FKU67 FAY58:FAY67 ERC58:ERC67 EHG58:EHG67 DXK58:DXK67 DNO58:DNO67 DDS58:DDS67 CTW58:CTW67 CKA58:CKA67 CAE58:CAE67 BQI58:BQI67 BGM58:BGM67 AWQ58:AWQ67 AMU58:AMU67 ACY58:ACY67 TC58:TC67 JG58:JG67 WLW983064:WLW983071 K73:K75 JG73:JG77 WVS983078:WVS983116 WLW983078:WLW983116 WCA983078:WCA983116 VSE983078:VSE983116 VII983078:VII983116 UYM983078:UYM983116 UOQ983078:UOQ983116 UEU983078:UEU983116 TUY983078:TUY983116 TLC983078:TLC983116 TBG983078:TBG983116 SRK983078:SRK983116 SHO983078:SHO983116 RXS983078:RXS983116 RNW983078:RNW983116 REA983078:REA983116 QUE983078:QUE983116 QKI983078:QKI983116 QAM983078:QAM983116 PQQ983078:PQQ983116 PGU983078:PGU983116 OWY983078:OWY983116 ONC983078:ONC983116 ODG983078:ODG983116 NTK983078:NTK983116 NJO983078:NJO983116 MZS983078:MZS983116 MPW983078:MPW983116 MGA983078:MGA983116 LWE983078:LWE983116 LMI983078:LMI983116 LCM983078:LCM983116 KSQ983078:KSQ983116 KIU983078:KIU983116 JYY983078:JYY983116 JPC983078:JPC983116 JFG983078:JFG983116 IVK983078:IVK983116 ILO983078:ILO983116 IBS983078:IBS983116 HRW983078:HRW983116 HIA983078:HIA983116 GYE983078:GYE983116 GOI983078:GOI983116 GEM983078:GEM983116 FUQ983078:FUQ983116 FKU983078:FKU983116 FAY983078:FAY983116 ERC983078:ERC983116 EHG983078:EHG983116 DXK983078:DXK983116 DNO983078:DNO983116 DDS983078:DDS983116 CTW983078:CTW983116 CKA983078:CKA983116 CAE983078:CAE983116 BQI983078:BQI983116 BGM983078:BGM983116 AWQ983078:AWQ983116 AMU983078:AMU983116 ACY983078:ACY983116 TC983078:TC983116 JG983078:JG983116 K983078:K983116 WVS917542:WVS917580 WLW917542:WLW917580 WCA917542:WCA917580 VSE917542:VSE917580 VII917542:VII917580 UYM917542:UYM917580 UOQ917542:UOQ917580 UEU917542:UEU917580 TUY917542:TUY917580 TLC917542:TLC917580 TBG917542:TBG917580 SRK917542:SRK917580 SHO917542:SHO917580 RXS917542:RXS917580 RNW917542:RNW917580 REA917542:REA917580 QUE917542:QUE917580 QKI917542:QKI917580 QAM917542:QAM917580 PQQ917542:PQQ917580 PGU917542:PGU917580 OWY917542:OWY917580 ONC917542:ONC917580 ODG917542:ODG917580 NTK917542:NTK917580 NJO917542:NJO917580 MZS917542:MZS917580 MPW917542:MPW917580 MGA917542:MGA917580 LWE917542:LWE917580 LMI917542:LMI917580 LCM917542:LCM917580 KSQ917542:KSQ917580 KIU917542:KIU917580 JYY917542:JYY917580 JPC917542:JPC917580 JFG917542:JFG917580 IVK917542:IVK917580 ILO917542:ILO917580 IBS917542:IBS917580 HRW917542:HRW917580 HIA917542:HIA917580 GYE917542:GYE917580 GOI917542:GOI917580 GEM917542:GEM917580 FUQ917542:FUQ917580 FKU917542:FKU917580 FAY917542:FAY917580 ERC917542:ERC917580 EHG917542:EHG917580 DXK917542:DXK917580 DNO917542:DNO917580 DDS917542:DDS917580 CTW917542:CTW917580 CKA917542:CKA917580 CAE917542:CAE917580 BQI917542:BQI917580 BGM917542:BGM917580 AWQ917542:AWQ917580 AMU917542:AMU917580 ACY917542:ACY917580 TC917542:TC917580 JG917542:JG917580 K917542:K917580 WVS852006:WVS852044 WLW852006:WLW852044 WCA852006:WCA852044 VSE852006:VSE852044 VII852006:VII852044 UYM852006:UYM852044 UOQ852006:UOQ852044 UEU852006:UEU852044 TUY852006:TUY852044 TLC852006:TLC852044 TBG852006:TBG852044 SRK852006:SRK852044 SHO852006:SHO852044 RXS852006:RXS852044 RNW852006:RNW852044 REA852006:REA852044 QUE852006:QUE852044 QKI852006:QKI852044 QAM852006:QAM852044 PQQ852006:PQQ852044 PGU852006:PGU852044 OWY852006:OWY852044 ONC852006:ONC852044 ODG852006:ODG852044 NTK852006:NTK852044 NJO852006:NJO852044 MZS852006:MZS852044 MPW852006:MPW852044 MGA852006:MGA852044 LWE852006:LWE852044 LMI852006:LMI852044 LCM852006:LCM852044 KSQ852006:KSQ852044 KIU852006:KIU852044 JYY852006:JYY852044 JPC852006:JPC852044 JFG852006:JFG852044 IVK852006:IVK852044 ILO852006:ILO852044 IBS852006:IBS852044 HRW852006:HRW852044 HIA852006:HIA852044 GYE852006:GYE852044 GOI852006:GOI852044 GEM852006:GEM852044 FUQ852006:FUQ852044 FKU852006:FKU852044 FAY852006:FAY852044 ERC852006:ERC852044 EHG852006:EHG852044 DXK852006:DXK852044 DNO852006:DNO852044 DDS852006:DDS852044 CTW852006:CTW852044 CKA852006:CKA852044 CAE852006:CAE852044 BQI852006:BQI852044 BGM852006:BGM852044 AWQ852006:AWQ852044 AMU852006:AMU852044 ACY852006:ACY852044 TC852006:TC852044 JG852006:JG852044 K852006:K852044 WVS786470:WVS786508 WLW786470:WLW786508 WCA786470:WCA786508 VSE786470:VSE786508 VII786470:VII786508 UYM786470:UYM786508 UOQ786470:UOQ786508 UEU786470:UEU786508 TUY786470:TUY786508 TLC786470:TLC786508 TBG786470:TBG786508 SRK786470:SRK786508 SHO786470:SHO786508 RXS786470:RXS786508 RNW786470:RNW786508 REA786470:REA786508 QUE786470:QUE786508 QKI786470:QKI786508 QAM786470:QAM786508 PQQ786470:PQQ786508 PGU786470:PGU786508 OWY786470:OWY786508 ONC786470:ONC786508 ODG786470:ODG786508 NTK786470:NTK786508 NJO786470:NJO786508 MZS786470:MZS786508 MPW786470:MPW786508 MGA786470:MGA786508 LWE786470:LWE786508 LMI786470:LMI786508 LCM786470:LCM786508 KSQ786470:KSQ786508 KIU786470:KIU786508 JYY786470:JYY786508 JPC786470:JPC786508 JFG786470:JFG786508 IVK786470:IVK786508 ILO786470:ILO786508 IBS786470:IBS786508 HRW786470:HRW786508 HIA786470:HIA786508 GYE786470:GYE786508 GOI786470:GOI786508 GEM786470:GEM786508 FUQ786470:FUQ786508 FKU786470:FKU786508 FAY786470:FAY786508 ERC786470:ERC786508 EHG786470:EHG786508 DXK786470:DXK786508 DNO786470:DNO786508 DDS786470:DDS786508 CTW786470:CTW786508 CKA786470:CKA786508 CAE786470:CAE786508 BQI786470:BQI786508 BGM786470:BGM786508 AWQ786470:AWQ786508 AMU786470:AMU786508 ACY786470:ACY786508 TC786470:TC786508 JG786470:JG786508 K786470:K786508 WVS720934:WVS720972 WLW720934:WLW720972 WCA720934:WCA720972 VSE720934:VSE720972 VII720934:VII720972 UYM720934:UYM720972 UOQ720934:UOQ720972 UEU720934:UEU720972 TUY720934:TUY720972 TLC720934:TLC720972 TBG720934:TBG720972 SRK720934:SRK720972 SHO720934:SHO720972 RXS720934:RXS720972 RNW720934:RNW720972 REA720934:REA720972 QUE720934:QUE720972 QKI720934:QKI720972 QAM720934:QAM720972 PQQ720934:PQQ720972 PGU720934:PGU720972 OWY720934:OWY720972 ONC720934:ONC720972 ODG720934:ODG720972 NTK720934:NTK720972 NJO720934:NJO720972 MZS720934:MZS720972 MPW720934:MPW720972 MGA720934:MGA720972 LWE720934:LWE720972 LMI720934:LMI720972 LCM720934:LCM720972 KSQ720934:KSQ720972 KIU720934:KIU720972 JYY720934:JYY720972 JPC720934:JPC720972 JFG720934:JFG720972 IVK720934:IVK720972 ILO720934:ILO720972 IBS720934:IBS720972 HRW720934:HRW720972 HIA720934:HIA720972 GYE720934:GYE720972 GOI720934:GOI720972 GEM720934:GEM720972 FUQ720934:FUQ720972 FKU720934:FKU720972 FAY720934:FAY720972 ERC720934:ERC720972 EHG720934:EHG720972 DXK720934:DXK720972 DNO720934:DNO720972 DDS720934:DDS720972 CTW720934:CTW720972 CKA720934:CKA720972 CAE720934:CAE720972 BQI720934:BQI720972 BGM720934:BGM720972 AWQ720934:AWQ720972 AMU720934:AMU720972 ACY720934:ACY720972 TC720934:TC720972 JG720934:JG720972 K720934:K720972 WVS655398:WVS655436 WLW655398:WLW655436 WCA655398:WCA655436 VSE655398:VSE655436 VII655398:VII655436 UYM655398:UYM655436 UOQ655398:UOQ655436 UEU655398:UEU655436 TUY655398:TUY655436 TLC655398:TLC655436 TBG655398:TBG655436 SRK655398:SRK655436 SHO655398:SHO655436 RXS655398:RXS655436 RNW655398:RNW655436 REA655398:REA655436 QUE655398:QUE655436 QKI655398:QKI655436 QAM655398:QAM655436 PQQ655398:PQQ655436 PGU655398:PGU655436 OWY655398:OWY655436 ONC655398:ONC655436 ODG655398:ODG655436 NTK655398:NTK655436 NJO655398:NJO655436 MZS655398:MZS655436 MPW655398:MPW655436 MGA655398:MGA655436 LWE655398:LWE655436 LMI655398:LMI655436 LCM655398:LCM655436 KSQ655398:KSQ655436 KIU655398:KIU655436 JYY655398:JYY655436 JPC655398:JPC655436 JFG655398:JFG655436 IVK655398:IVK655436 ILO655398:ILO655436 IBS655398:IBS655436 HRW655398:HRW655436 HIA655398:HIA655436 GYE655398:GYE655436 GOI655398:GOI655436 GEM655398:GEM655436 FUQ655398:FUQ655436 FKU655398:FKU655436 FAY655398:FAY655436 ERC655398:ERC655436 EHG655398:EHG655436 DXK655398:DXK655436 DNO655398:DNO655436 DDS655398:DDS655436 CTW655398:CTW655436 CKA655398:CKA655436 CAE655398:CAE655436 BQI655398:BQI655436 BGM655398:BGM655436 AWQ655398:AWQ655436 AMU655398:AMU655436 ACY655398:ACY655436 TC655398:TC655436 JG655398:JG655436 K655398:K655436 WVS589862:WVS589900 WLW589862:WLW589900 WCA589862:WCA589900 VSE589862:VSE589900 VII589862:VII589900 UYM589862:UYM589900 UOQ589862:UOQ589900 UEU589862:UEU589900 TUY589862:TUY589900 TLC589862:TLC589900 TBG589862:TBG589900 SRK589862:SRK589900 SHO589862:SHO589900 RXS589862:RXS589900 RNW589862:RNW589900 REA589862:REA589900 QUE589862:QUE589900 QKI589862:QKI589900 QAM589862:QAM589900 PQQ589862:PQQ589900 PGU589862:PGU589900 OWY589862:OWY589900 ONC589862:ONC589900 ODG589862:ODG589900 NTK589862:NTK589900 NJO589862:NJO589900 MZS589862:MZS589900 MPW589862:MPW589900 MGA589862:MGA589900 LWE589862:LWE589900 LMI589862:LMI589900 LCM589862:LCM589900 KSQ589862:KSQ589900 KIU589862:KIU589900 JYY589862:JYY589900 JPC589862:JPC589900 JFG589862:JFG589900 IVK589862:IVK589900 ILO589862:ILO589900 IBS589862:IBS589900 HRW589862:HRW589900 HIA589862:HIA589900 GYE589862:GYE589900 GOI589862:GOI589900 GEM589862:GEM589900 FUQ589862:FUQ589900 FKU589862:FKU589900 FAY589862:FAY589900 ERC589862:ERC589900 EHG589862:EHG589900 DXK589862:DXK589900 DNO589862:DNO589900 DDS589862:DDS589900 CTW589862:CTW589900 CKA589862:CKA589900 CAE589862:CAE589900 BQI589862:BQI589900 BGM589862:BGM589900 AWQ589862:AWQ589900 AMU589862:AMU589900 ACY589862:ACY589900 TC589862:TC589900 JG589862:JG589900 K589862:K589900 WVS524326:WVS524364 WLW524326:WLW524364 WCA524326:WCA524364 VSE524326:VSE524364 VII524326:VII524364 UYM524326:UYM524364 UOQ524326:UOQ524364 UEU524326:UEU524364 TUY524326:TUY524364 TLC524326:TLC524364 TBG524326:TBG524364 SRK524326:SRK524364 SHO524326:SHO524364 RXS524326:RXS524364 RNW524326:RNW524364 REA524326:REA524364 QUE524326:QUE524364 QKI524326:QKI524364 QAM524326:QAM524364 PQQ524326:PQQ524364 PGU524326:PGU524364 OWY524326:OWY524364 ONC524326:ONC524364 ODG524326:ODG524364 NTK524326:NTK524364 NJO524326:NJO524364 MZS524326:MZS524364 MPW524326:MPW524364 MGA524326:MGA524364 LWE524326:LWE524364 LMI524326:LMI524364 LCM524326:LCM524364 KSQ524326:KSQ524364 KIU524326:KIU524364 JYY524326:JYY524364 JPC524326:JPC524364 JFG524326:JFG524364 IVK524326:IVK524364 ILO524326:ILO524364 IBS524326:IBS524364 HRW524326:HRW524364 HIA524326:HIA524364 GYE524326:GYE524364 GOI524326:GOI524364 GEM524326:GEM524364 FUQ524326:FUQ524364 FKU524326:FKU524364 FAY524326:FAY524364 ERC524326:ERC524364 EHG524326:EHG524364 DXK524326:DXK524364 DNO524326:DNO524364 DDS524326:DDS524364 CTW524326:CTW524364 CKA524326:CKA524364 CAE524326:CAE524364 BQI524326:BQI524364 BGM524326:BGM524364 AWQ524326:AWQ524364 AMU524326:AMU524364 ACY524326:ACY524364 TC524326:TC524364 JG524326:JG524364 K524326:K524364 WVS458790:WVS458828 WLW458790:WLW458828 WCA458790:WCA458828 VSE458790:VSE458828 VII458790:VII458828 UYM458790:UYM458828 UOQ458790:UOQ458828 UEU458790:UEU458828 TUY458790:TUY458828 TLC458790:TLC458828 TBG458790:TBG458828 SRK458790:SRK458828 SHO458790:SHO458828 RXS458790:RXS458828 RNW458790:RNW458828 REA458790:REA458828 QUE458790:QUE458828 QKI458790:QKI458828 QAM458790:QAM458828 PQQ458790:PQQ458828 PGU458790:PGU458828 OWY458790:OWY458828 ONC458790:ONC458828 ODG458790:ODG458828 NTK458790:NTK458828 NJO458790:NJO458828 MZS458790:MZS458828 MPW458790:MPW458828 MGA458790:MGA458828 LWE458790:LWE458828 LMI458790:LMI458828 LCM458790:LCM458828 KSQ458790:KSQ458828 KIU458790:KIU458828 JYY458790:JYY458828 JPC458790:JPC458828 JFG458790:JFG458828 IVK458790:IVK458828 ILO458790:ILO458828 IBS458790:IBS458828 HRW458790:HRW458828 HIA458790:HIA458828 GYE458790:GYE458828 GOI458790:GOI458828 GEM458790:GEM458828 FUQ458790:FUQ458828 FKU458790:FKU458828 FAY458790:FAY458828 ERC458790:ERC458828 EHG458790:EHG458828 DXK458790:DXK458828 DNO458790:DNO458828 DDS458790:DDS458828 CTW458790:CTW458828 CKA458790:CKA458828 CAE458790:CAE458828 BQI458790:BQI458828 BGM458790:BGM458828 AWQ458790:AWQ458828 AMU458790:AMU458828 ACY458790:ACY458828 TC458790:TC458828 JG458790:JG458828 K458790:K458828 WVS393254:WVS393292 WLW393254:WLW393292 WCA393254:WCA393292 VSE393254:VSE393292 VII393254:VII393292 UYM393254:UYM393292 UOQ393254:UOQ393292 UEU393254:UEU393292 TUY393254:TUY393292 TLC393254:TLC393292 TBG393254:TBG393292 SRK393254:SRK393292 SHO393254:SHO393292 RXS393254:RXS393292 RNW393254:RNW393292 REA393254:REA393292 QUE393254:QUE393292 QKI393254:QKI393292 QAM393254:QAM393292 PQQ393254:PQQ393292 PGU393254:PGU393292 OWY393254:OWY393292 ONC393254:ONC393292 ODG393254:ODG393292 NTK393254:NTK393292 NJO393254:NJO393292 MZS393254:MZS393292 MPW393254:MPW393292 MGA393254:MGA393292 LWE393254:LWE393292 LMI393254:LMI393292 LCM393254:LCM393292 KSQ393254:KSQ393292 KIU393254:KIU393292 JYY393254:JYY393292 JPC393254:JPC393292 JFG393254:JFG393292 IVK393254:IVK393292 ILO393254:ILO393292 IBS393254:IBS393292 HRW393254:HRW393292 HIA393254:HIA393292 GYE393254:GYE393292 GOI393254:GOI393292 GEM393254:GEM393292 FUQ393254:FUQ393292 FKU393254:FKU393292 FAY393254:FAY393292 ERC393254:ERC393292 EHG393254:EHG393292 DXK393254:DXK393292 DNO393254:DNO393292 DDS393254:DDS393292 CTW393254:CTW393292 CKA393254:CKA393292 CAE393254:CAE393292 BQI393254:BQI393292 BGM393254:BGM393292 AWQ393254:AWQ393292 AMU393254:AMU393292 ACY393254:ACY393292 TC393254:TC393292 JG393254:JG393292 K393254:K393292 WVS327718:WVS327756 WLW327718:WLW327756 WCA327718:WCA327756 VSE327718:VSE327756 VII327718:VII327756 UYM327718:UYM327756 UOQ327718:UOQ327756 UEU327718:UEU327756 TUY327718:TUY327756 TLC327718:TLC327756 TBG327718:TBG327756 SRK327718:SRK327756 SHO327718:SHO327756 RXS327718:RXS327756 RNW327718:RNW327756 REA327718:REA327756 QUE327718:QUE327756 QKI327718:QKI327756 QAM327718:QAM327756 PQQ327718:PQQ327756 PGU327718:PGU327756 OWY327718:OWY327756 ONC327718:ONC327756 ODG327718:ODG327756 NTK327718:NTK327756 NJO327718:NJO327756 MZS327718:MZS327756 MPW327718:MPW327756 MGA327718:MGA327756 LWE327718:LWE327756 LMI327718:LMI327756 LCM327718:LCM327756 KSQ327718:KSQ327756 KIU327718:KIU327756 JYY327718:JYY327756 JPC327718:JPC327756 JFG327718:JFG327756 IVK327718:IVK327756 ILO327718:ILO327756 IBS327718:IBS327756 HRW327718:HRW327756 HIA327718:HIA327756 GYE327718:GYE327756 GOI327718:GOI327756 GEM327718:GEM327756 FUQ327718:FUQ327756 FKU327718:FKU327756 FAY327718:FAY327756 ERC327718:ERC327756 EHG327718:EHG327756 DXK327718:DXK327756 DNO327718:DNO327756 DDS327718:DDS327756 CTW327718:CTW327756 CKA327718:CKA327756 CAE327718:CAE327756 BQI327718:BQI327756 BGM327718:BGM327756 AWQ327718:AWQ327756 AMU327718:AMU327756 ACY327718:ACY327756 TC327718:TC327756 JG327718:JG327756 K327718:K327756 WVS262182:WVS262220 WLW262182:WLW262220 WCA262182:WCA262220 VSE262182:VSE262220 VII262182:VII262220 UYM262182:UYM262220 UOQ262182:UOQ262220 UEU262182:UEU262220 TUY262182:TUY262220 TLC262182:TLC262220 TBG262182:TBG262220 SRK262182:SRK262220 SHO262182:SHO262220 RXS262182:RXS262220 RNW262182:RNW262220 REA262182:REA262220 QUE262182:QUE262220 QKI262182:QKI262220 QAM262182:QAM262220 PQQ262182:PQQ262220 PGU262182:PGU262220 OWY262182:OWY262220 ONC262182:ONC262220 ODG262182:ODG262220 NTK262182:NTK262220 NJO262182:NJO262220 MZS262182:MZS262220 MPW262182:MPW262220 MGA262182:MGA262220 LWE262182:LWE262220 LMI262182:LMI262220 LCM262182:LCM262220 KSQ262182:KSQ262220 KIU262182:KIU262220 JYY262182:JYY262220 JPC262182:JPC262220 JFG262182:JFG262220 IVK262182:IVK262220 ILO262182:ILO262220 IBS262182:IBS262220 HRW262182:HRW262220 HIA262182:HIA262220 GYE262182:GYE262220 GOI262182:GOI262220 GEM262182:GEM262220 FUQ262182:FUQ262220 FKU262182:FKU262220 FAY262182:FAY262220 ERC262182:ERC262220 EHG262182:EHG262220 DXK262182:DXK262220 DNO262182:DNO262220 DDS262182:DDS262220 CTW262182:CTW262220 CKA262182:CKA262220 CAE262182:CAE262220 BQI262182:BQI262220 BGM262182:BGM262220 AWQ262182:AWQ262220 AMU262182:AMU262220 ACY262182:ACY262220 TC262182:TC262220 JG262182:JG262220 K262182:K262220 WVS196646:WVS196684 WLW196646:WLW196684 WCA196646:WCA196684 VSE196646:VSE196684 VII196646:VII196684 UYM196646:UYM196684 UOQ196646:UOQ196684 UEU196646:UEU196684 TUY196646:TUY196684 TLC196646:TLC196684 TBG196646:TBG196684 SRK196646:SRK196684 SHO196646:SHO196684 RXS196646:RXS196684 RNW196646:RNW196684 REA196646:REA196684 QUE196646:QUE196684 QKI196646:QKI196684 QAM196646:QAM196684 PQQ196646:PQQ196684 PGU196646:PGU196684 OWY196646:OWY196684 ONC196646:ONC196684 ODG196646:ODG196684 NTK196646:NTK196684 NJO196646:NJO196684 MZS196646:MZS196684 MPW196646:MPW196684 MGA196646:MGA196684 LWE196646:LWE196684 LMI196646:LMI196684 LCM196646:LCM196684 KSQ196646:KSQ196684 KIU196646:KIU196684 JYY196646:JYY196684 JPC196646:JPC196684 JFG196646:JFG196684 IVK196646:IVK196684 ILO196646:ILO196684 IBS196646:IBS196684 HRW196646:HRW196684 HIA196646:HIA196684 GYE196646:GYE196684 GOI196646:GOI196684 GEM196646:GEM196684 FUQ196646:FUQ196684 FKU196646:FKU196684 FAY196646:FAY196684 ERC196646:ERC196684 EHG196646:EHG196684 DXK196646:DXK196684 DNO196646:DNO196684 DDS196646:DDS196684 CTW196646:CTW196684 CKA196646:CKA196684 CAE196646:CAE196684 BQI196646:BQI196684 BGM196646:BGM196684 AWQ196646:AWQ196684 AMU196646:AMU196684 ACY196646:ACY196684 TC196646:TC196684 JG196646:JG196684 K196646:K196684 WVS131110:WVS131148 WLW131110:WLW131148 WCA131110:WCA131148 VSE131110:VSE131148 VII131110:VII131148 UYM131110:UYM131148 UOQ131110:UOQ131148 UEU131110:UEU131148 TUY131110:TUY131148 TLC131110:TLC131148 TBG131110:TBG131148 SRK131110:SRK131148 SHO131110:SHO131148 RXS131110:RXS131148 RNW131110:RNW131148 REA131110:REA131148 QUE131110:QUE131148 QKI131110:QKI131148 QAM131110:QAM131148 PQQ131110:PQQ131148 PGU131110:PGU131148 OWY131110:OWY131148 ONC131110:ONC131148 ODG131110:ODG131148 NTK131110:NTK131148 NJO131110:NJO131148 MZS131110:MZS131148 MPW131110:MPW131148 MGA131110:MGA131148 LWE131110:LWE131148 LMI131110:LMI131148 LCM131110:LCM131148 KSQ131110:KSQ131148 KIU131110:KIU131148 JYY131110:JYY131148 JPC131110:JPC131148 JFG131110:JFG131148 IVK131110:IVK131148 ILO131110:ILO131148 IBS131110:IBS131148 HRW131110:HRW131148 HIA131110:HIA131148 GYE131110:GYE131148 GOI131110:GOI131148 GEM131110:GEM131148 FUQ131110:FUQ131148 FKU131110:FKU131148 FAY131110:FAY131148 ERC131110:ERC131148 EHG131110:EHG131148 DXK131110:DXK131148 DNO131110:DNO131148 DDS131110:DDS131148 CTW131110:CTW131148 CKA131110:CKA131148 CAE131110:CAE131148 BQI131110:BQI131148 BGM131110:BGM131148 AWQ131110:AWQ131148 AMU131110:AMU131148 ACY131110:ACY131148 TC131110:TC131148 JG131110:JG131148 K131110:K131148 WVS65574:WVS65612 WLW65574:WLW65612 WCA65574:WCA65612 VSE65574:VSE65612 VII65574:VII65612 UYM65574:UYM65612 UOQ65574:UOQ65612 UEU65574:UEU65612 TUY65574:TUY65612 TLC65574:TLC65612 TBG65574:TBG65612 SRK65574:SRK65612 SHO65574:SHO65612 RXS65574:RXS65612 RNW65574:RNW65612 REA65574:REA65612 QUE65574:QUE65612 QKI65574:QKI65612 QAM65574:QAM65612 PQQ65574:PQQ65612 PGU65574:PGU65612 OWY65574:OWY65612 ONC65574:ONC65612 ODG65574:ODG65612 NTK65574:NTK65612 NJO65574:NJO65612 MZS65574:MZS65612 MPW65574:MPW65612 MGA65574:MGA65612 LWE65574:LWE65612 LMI65574:LMI65612 LCM65574:LCM65612 KSQ65574:KSQ65612 KIU65574:KIU65612 JYY65574:JYY65612 JPC65574:JPC65612 JFG65574:JFG65612 IVK65574:IVK65612 ILO65574:ILO65612 IBS65574:IBS65612 HRW65574:HRW65612 HIA65574:HIA65612 GYE65574:GYE65612 GOI65574:GOI65612 GEM65574:GEM65612 FUQ65574:FUQ65612 FKU65574:FKU65612 FAY65574:FAY65612 ERC65574:ERC65612 EHG65574:EHG65612 DXK65574:DXK65612 DNO65574:DNO65612 DDS65574:DDS65612 CTW65574:CTW65612 CKA65574:CKA65612 CAE65574:CAE65612 BQI65574:BQI65612 BGM65574:BGM65612 AWQ65574:AWQ65612 AMU65574:AMU65612 ACY65574:ACY65612 TC65574:TC65612 JG65574:JG65612 K65574:K65612 WVS73:WVS77 WLW73:WLW77 WCA73:WCA77 VSE73:VSE77 VII73:VII77 UYM73:UYM77 UOQ73:UOQ77 UEU73:UEU77 TUY73:TUY77 TLC73:TLC77 TBG73:TBG77 SRK73:SRK77 SHO73:SHO77 RXS73:RXS77 RNW73:RNW77 REA73:REA77 QUE73:QUE77 QKI73:QKI77 QAM73:QAM77 PQQ73:PQQ77 PGU73:PGU77 OWY73:OWY77 ONC73:ONC77 ODG73:ODG77 NTK73:NTK77 NJO73:NJO77 MZS73:MZS77 MPW73:MPW77 MGA73:MGA77 LWE73:LWE77 LMI73:LMI77 LCM73:LCM77 KSQ73:KSQ77 KIU73:KIU77 JYY73:JYY77 JPC73:JPC77 JFG73:JFG77 IVK73:IVK77 ILO73:ILO77 IBS73:IBS77 HRW73:HRW77 HIA73:HIA77 GYE73:GYE77 GOI73:GOI77 GEM73:GEM77 FUQ73:FUQ77 FKU73:FKU77 FAY73:FAY77 ERC73:ERC77 EHG73:EHG77 DXK73:DXK77 DNO73:DNO77 DDS73:DDS77 CTW73:CTW77 CKA73:CKA77 CAE73:CAE77 BQI73:BQI77 BGM73:BGM77 AWQ73:AWQ77 AMU73:AMU77 ACY73:ACY77 TC73:TC77 K58:K67">
      <formula1>$J$136:$J$138</formula1>
    </dataValidation>
    <dataValidation type="list" allowBlank="1" showInputMessage="1" showErrorMessage="1" sqref="WVT983064:WVT983071 WCB983064:WCB983071 VSF983064:VSF983071 VIJ983064:VIJ983071 UYN983064:UYN983071 UOR983064:UOR983071 UEV983064:UEV983071 TUZ983064:TUZ983071 TLD983064:TLD983071 TBH983064:TBH983071 SRL983064:SRL983071 SHP983064:SHP983071 RXT983064:RXT983071 RNX983064:RNX983071 REB983064:REB983071 QUF983064:QUF983071 QKJ983064:QKJ983071 QAN983064:QAN983071 PQR983064:PQR983071 PGV983064:PGV983071 OWZ983064:OWZ983071 OND983064:OND983071 ODH983064:ODH983071 NTL983064:NTL983071 NJP983064:NJP983071 MZT983064:MZT983071 MPX983064:MPX983071 MGB983064:MGB983071 LWF983064:LWF983071 LMJ983064:LMJ983071 LCN983064:LCN983071 KSR983064:KSR983071 KIV983064:KIV983071 JYZ983064:JYZ983071 JPD983064:JPD983071 JFH983064:JFH983071 IVL983064:IVL983071 ILP983064:ILP983071 IBT983064:IBT983071 HRX983064:HRX983071 HIB983064:HIB983071 GYF983064:GYF983071 GOJ983064:GOJ983071 GEN983064:GEN983071 FUR983064:FUR983071 FKV983064:FKV983071 FAZ983064:FAZ983071 ERD983064:ERD983071 EHH983064:EHH983071 DXL983064:DXL983071 DNP983064:DNP983071 DDT983064:DDT983071 CTX983064:CTX983071 CKB983064:CKB983071 CAF983064:CAF983071 BQJ983064:BQJ983071 BGN983064:BGN983071 AWR983064:AWR983071 AMV983064:AMV983071 ACZ983064:ACZ983071 TD983064:TD983071 JH983064:JH983071 L983064:L983071 WVT917528:WVT917535 WLX917528:WLX917535 WCB917528:WCB917535 VSF917528:VSF917535 VIJ917528:VIJ917535 UYN917528:UYN917535 UOR917528:UOR917535 UEV917528:UEV917535 TUZ917528:TUZ917535 TLD917528:TLD917535 TBH917528:TBH917535 SRL917528:SRL917535 SHP917528:SHP917535 RXT917528:RXT917535 RNX917528:RNX917535 REB917528:REB917535 QUF917528:QUF917535 QKJ917528:QKJ917535 QAN917528:QAN917535 PQR917528:PQR917535 PGV917528:PGV917535 OWZ917528:OWZ917535 OND917528:OND917535 ODH917528:ODH917535 NTL917528:NTL917535 NJP917528:NJP917535 MZT917528:MZT917535 MPX917528:MPX917535 MGB917528:MGB917535 LWF917528:LWF917535 LMJ917528:LMJ917535 LCN917528:LCN917535 KSR917528:KSR917535 KIV917528:KIV917535 JYZ917528:JYZ917535 JPD917528:JPD917535 JFH917528:JFH917535 IVL917528:IVL917535 ILP917528:ILP917535 IBT917528:IBT917535 HRX917528:HRX917535 HIB917528:HIB917535 GYF917528:GYF917535 GOJ917528:GOJ917535 GEN917528:GEN917535 FUR917528:FUR917535 FKV917528:FKV917535 FAZ917528:FAZ917535 ERD917528:ERD917535 EHH917528:EHH917535 DXL917528:DXL917535 DNP917528:DNP917535 DDT917528:DDT917535 CTX917528:CTX917535 CKB917528:CKB917535 CAF917528:CAF917535 BQJ917528:BQJ917535 BGN917528:BGN917535 AWR917528:AWR917535 AMV917528:AMV917535 ACZ917528:ACZ917535 TD917528:TD917535 JH917528:JH917535 L917528:L917535 WVT851992:WVT851999 WLX851992:WLX851999 WCB851992:WCB851999 VSF851992:VSF851999 VIJ851992:VIJ851999 UYN851992:UYN851999 UOR851992:UOR851999 UEV851992:UEV851999 TUZ851992:TUZ851999 TLD851992:TLD851999 TBH851992:TBH851999 SRL851992:SRL851999 SHP851992:SHP851999 RXT851992:RXT851999 RNX851992:RNX851999 REB851992:REB851999 QUF851992:QUF851999 QKJ851992:QKJ851999 QAN851992:QAN851999 PQR851992:PQR851999 PGV851992:PGV851999 OWZ851992:OWZ851999 OND851992:OND851999 ODH851992:ODH851999 NTL851992:NTL851999 NJP851992:NJP851999 MZT851992:MZT851999 MPX851992:MPX851999 MGB851992:MGB851999 LWF851992:LWF851999 LMJ851992:LMJ851999 LCN851992:LCN851999 KSR851992:KSR851999 KIV851992:KIV851999 JYZ851992:JYZ851999 JPD851992:JPD851999 JFH851992:JFH851999 IVL851992:IVL851999 ILP851992:ILP851999 IBT851992:IBT851999 HRX851992:HRX851999 HIB851992:HIB851999 GYF851992:GYF851999 GOJ851992:GOJ851999 GEN851992:GEN851999 FUR851992:FUR851999 FKV851992:FKV851999 FAZ851992:FAZ851999 ERD851992:ERD851999 EHH851992:EHH851999 DXL851992:DXL851999 DNP851992:DNP851999 DDT851992:DDT851999 CTX851992:CTX851999 CKB851992:CKB851999 CAF851992:CAF851999 BQJ851992:BQJ851999 BGN851992:BGN851999 AWR851992:AWR851999 AMV851992:AMV851999 ACZ851992:ACZ851999 TD851992:TD851999 JH851992:JH851999 L851992:L851999 WVT786456:WVT786463 WLX786456:WLX786463 WCB786456:WCB786463 VSF786456:VSF786463 VIJ786456:VIJ786463 UYN786456:UYN786463 UOR786456:UOR786463 UEV786456:UEV786463 TUZ786456:TUZ786463 TLD786456:TLD786463 TBH786456:TBH786463 SRL786456:SRL786463 SHP786456:SHP786463 RXT786456:RXT786463 RNX786456:RNX786463 REB786456:REB786463 QUF786456:QUF786463 QKJ786456:QKJ786463 QAN786456:QAN786463 PQR786456:PQR786463 PGV786456:PGV786463 OWZ786456:OWZ786463 OND786456:OND786463 ODH786456:ODH786463 NTL786456:NTL786463 NJP786456:NJP786463 MZT786456:MZT786463 MPX786456:MPX786463 MGB786456:MGB786463 LWF786456:LWF786463 LMJ786456:LMJ786463 LCN786456:LCN786463 KSR786456:KSR786463 KIV786456:KIV786463 JYZ786456:JYZ786463 JPD786456:JPD786463 JFH786456:JFH786463 IVL786456:IVL786463 ILP786456:ILP786463 IBT786456:IBT786463 HRX786456:HRX786463 HIB786456:HIB786463 GYF786456:GYF786463 GOJ786456:GOJ786463 GEN786456:GEN786463 FUR786456:FUR786463 FKV786456:FKV786463 FAZ786456:FAZ786463 ERD786456:ERD786463 EHH786456:EHH786463 DXL786456:DXL786463 DNP786456:DNP786463 DDT786456:DDT786463 CTX786456:CTX786463 CKB786456:CKB786463 CAF786456:CAF786463 BQJ786456:BQJ786463 BGN786456:BGN786463 AWR786456:AWR786463 AMV786456:AMV786463 ACZ786456:ACZ786463 TD786456:TD786463 JH786456:JH786463 L786456:L786463 WVT720920:WVT720927 WLX720920:WLX720927 WCB720920:WCB720927 VSF720920:VSF720927 VIJ720920:VIJ720927 UYN720920:UYN720927 UOR720920:UOR720927 UEV720920:UEV720927 TUZ720920:TUZ720927 TLD720920:TLD720927 TBH720920:TBH720927 SRL720920:SRL720927 SHP720920:SHP720927 RXT720920:RXT720927 RNX720920:RNX720927 REB720920:REB720927 QUF720920:QUF720927 QKJ720920:QKJ720927 QAN720920:QAN720927 PQR720920:PQR720927 PGV720920:PGV720927 OWZ720920:OWZ720927 OND720920:OND720927 ODH720920:ODH720927 NTL720920:NTL720927 NJP720920:NJP720927 MZT720920:MZT720927 MPX720920:MPX720927 MGB720920:MGB720927 LWF720920:LWF720927 LMJ720920:LMJ720927 LCN720920:LCN720927 KSR720920:KSR720927 KIV720920:KIV720927 JYZ720920:JYZ720927 JPD720920:JPD720927 JFH720920:JFH720927 IVL720920:IVL720927 ILP720920:ILP720927 IBT720920:IBT720927 HRX720920:HRX720927 HIB720920:HIB720927 GYF720920:GYF720927 GOJ720920:GOJ720927 GEN720920:GEN720927 FUR720920:FUR720927 FKV720920:FKV720927 FAZ720920:FAZ720927 ERD720920:ERD720927 EHH720920:EHH720927 DXL720920:DXL720927 DNP720920:DNP720927 DDT720920:DDT720927 CTX720920:CTX720927 CKB720920:CKB720927 CAF720920:CAF720927 BQJ720920:BQJ720927 BGN720920:BGN720927 AWR720920:AWR720927 AMV720920:AMV720927 ACZ720920:ACZ720927 TD720920:TD720927 JH720920:JH720927 L720920:L720927 WVT655384:WVT655391 WLX655384:WLX655391 WCB655384:WCB655391 VSF655384:VSF655391 VIJ655384:VIJ655391 UYN655384:UYN655391 UOR655384:UOR655391 UEV655384:UEV655391 TUZ655384:TUZ655391 TLD655384:TLD655391 TBH655384:TBH655391 SRL655384:SRL655391 SHP655384:SHP655391 RXT655384:RXT655391 RNX655384:RNX655391 REB655384:REB655391 QUF655384:QUF655391 QKJ655384:QKJ655391 QAN655384:QAN655391 PQR655384:PQR655391 PGV655384:PGV655391 OWZ655384:OWZ655391 OND655384:OND655391 ODH655384:ODH655391 NTL655384:NTL655391 NJP655384:NJP655391 MZT655384:MZT655391 MPX655384:MPX655391 MGB655384:MGB655391 LWF655384:LWF655391 LMJ655384:LMJ655391 LCN655384:LCN655391 KSR655384:KSR655391 KIV655384:KIV655391 JYZ655384:JYZ655391 JPD655384:JPD655391 JFH655384:JFH655391 IVL655384:IVL655391 ILP655384:ILP655391 IBT655384:IBT655391 HRX655384:HRX655391 HIB655384:HIB655391 GYF655384:GYF655391 GOJ655384:GOJ655391 GEN655384:GEN655391 FUR655384:FUR655391 FKV655384:FKV655391 FAZ655384:FAZ655391 ERD655384:ERD655391 EHH655384:EHH655391 DXL655384:DXL655391 DNP655384:DNP655391 DDT655384:DDT655391 CTX655384:CTX655391 CKB655384:CKB655391 CAF655384:CAF655391 BQJ655384:BQJ655391 BGN655384:BGN655391 AWR655384:AWR655391 AMV655384:AMV655391 ACZ655384:ACZ655391 TD655384:TD655391 JH655384:JH655391 L655384:L655391 WVT589848:WVT589855 WLX589848:WLX589855 WCB589848:WCB589855 VSF589848:VSF589855 VIJ589848:VIJ589855 UYN589848:UYN589855 UOR589848:UOR589855 UEV589848:UEV589855 TUZ589848:TUZ589855 TLD589848:TLD589855 TBH589848:TBH589855 SRL589848:SRL589855 SHP589848:SHP589855 RXT589848:RXT589855 RNX589848:RNX589855 REB589848:REB589855 QUF589848:QUF589855 QKJ589848:QKJ589855 QAN589848:QAN589855 PQR589848:PQR589855 PGV589848:PGV589855 OWZ589848:OWZ589855 OND589848:OND589855 ODH589848:ODH589855 NTL589848:NTL589855 NJP589848:NJP589855 MZT589848:MZT589855 MPX589848:MPX589855 MGB589848:MGB589855 LWF589848:LWF589855 LMJ589848:LMJ589855 LCN589848:LCN589855 KSR589848:KSR589855 KIV589848:KIV589855 JYZ589848:JYZ589855 JPD589848:JPD589855 JFH589848:JFH589855 IVL589848:IVL589855 ILP589848:ILP589855 IBT589848:IBT589855 HRX589848:HRX589855 HIB589848:HIB589855 GYF589848:GYF589855 GOJ589848:GOJ589855 GEN589848:GEN589855 FUR589848:FUR589855 FKV589848:FKV589855 FAZ589848:FAZ589855 ERD589848:ERD589855 EHH589848:EHH589855 DXL589848:DXL589855 DNP589848:DNP589855 DDT589848:DDT589855 CTX589848:CTX589855 CKB589848:CKB589855 CAF589848:CAF589855 BQJ589848:BQJ589855 BGN589848:BGN589855 AWR589848:AWR589855 AMV589848:AMV589855 ACZ589848:ACZ589855 TD589848:TD589855 JH589848:JH589855 L589848:L589855 WVT524312:WVT524319 WLX524312:WLX524319 WCB524312:WCB524319 VSF524312:VSF524319 VIJ524312:VIJ524319 UYN524312:UYN524319 UOR524312:UOR524319 UEV524312:UEV524319 TUZ524312:TUZ524319 TLD524312:TLD524319 TBH524312:TBH524319 SRL524312:SRL524319 SHP524312:SHP524319 RXT524312:RXT524319 RNX524312:RNX524319 REB524312:REB524319 QUF524312:QUF524319 QKJ524312:QKJ524319 QAN524312:QAN524319 PQR524312:PQR524319 PGV524312:PGV524319 OWZ524312:OWZ524319 OND524312:OND524319 ODH524312:ODH524319 NTL524312:NTL524319 NJP524312:NJP524319 MZT524312:MZT524319 MPX524312:MPX524319 MGB524312:MGB524319 LWF524312:LWF524319 LMJ524312:LMJ524319 LCN524312:LCN524319 KSR524312:KSR524319 KIV524312:KIV524319 JYZ524312:JYZ524319 JPD524312:JPD524319 JFH524312:JFH524319 IVL524312:IVL524319 ILP524312:ILP524319 IBT524312:IBT524319 HRX524312:HRX524319 HIB524312:HIB524319 GYF524312:GYF524319 GOJ524312:GOJ524319 GEN524312:GEN524319 FUR524312:FUR524319 FKV524312:FKV524319 FAZ524312:FAZ524319 ERD524312:ERD524319 EHH524312:EHH524319 DXL524312:DXL524319 DNP524312:DNP524319 DDT524312:DDT524319 CTX524312:CTX524319 CKB524312:CKB524319 CAF524312:CAF524319 BQJ524312:BQJ524319 BGN524312:BGN524319 AWR524312:AWR524319 AMV524312:AMV524319 ACZ524312:ACZ524319 TD524312:TD524319 JH524312:JH524319 L524312:L524319 WVT458776:WVT458783 WLX458776:WLX458783 WCB458776:WCB458783 VSF458776:VSF458783 VIJ458776:VIJ458783 UYN458776:UYN458783 UOR458776:UOR458783 UEV458776:UEV458783 TUZ458776:TUZ458783 TLD458776:TLD458783 TBH458776:TBH458783 SRL458776:SRL458783 SHP458776:SHP458783 RXT458776:RXT458783 RNX458776:RNX458783 REB458776:REB458783 QUF458776:QUF458783 QKJ458776:QKJ458783 QAN458776:QAN458783 PQR458776:PQR458783 PGV458776:PGV458783 OWZ458776:OWZ458783 OND458776:OND458783 ODH458776:ODH458783 NTL458776:NTL458783 NJP458776:NJP458783 MZT458776:MZT458783 MPX458776:MPX458783 MGB458776:MGB458783 LWF458776:LWF458783 LMJ458776:LMJ458783 LCN458776:LCN458783 KSR458776:KSR458783 KIV458776:KIV458783 JYZ458776:JYZ458783 JPD458776:JPD458783 JFH458776:JFH458783 IVL458776:IVL458783 ILP458776:ILP458783 IBT458776:IBT458783 HRX458776:HRX458783 HIB458776:HIB458783 GYF458776:GYF458783 GOJ458776:GOJ458783 GEN458776:GEN458783 FUR458776:FUR458783 FKV458776:FKV458783 FAZ458776:FAZ458783 ERD458776:ERD458783 EHH458776:EHH458783 DXL458776:DXL458783 DNP458776:DNP458783 DDT458776:DDT458783 CTX458776:CTX458783 CKB458776:CKB458783 CAF458776:CAF458783 BQJ458776:BQJ458783 BGN458776:BGN458783 AWR458776:AWR458783 AMV458776:AMV458783 ACZ458776:ACZ458783 TD458776:TD458783 JH458776:JH458783 L458776:L458783 WVT393240:WVT393247 WLX393240:WLX393247 WCB393240:WCB393247 VSF393240:VSF393247 VIJ393240:VIJ393247 UYN393240:UYN393247 UOR393240:UOR393247 UEV393240:UEV393247 TUZ393240:TUZ393247 TLD393240:TLD393247 TBH393240:TBH393247 SRL393240:SRL393247 SHP393240:SHP393247 RXT393240:RXT393247 RNX393240:RNX393247 REB393240:REB393247 QUF393240:QUF393247 QKJ393240:QKJ393247 QAN393240:QAN393247 PQR393240:PQR393247 PGV393240:PGV393247 OWZ393240:OWZ393247 OND393240:OND393247 ODH393240:ODH393247 NTL393240:NTL393247 NJP393240:NJP393247 MZT393240:MZT393247 MPX393240:MPX393247 MGB393240:MGB393247 LWF393240:LWF393247 LMJ393240:LMJ393247 LCN393240:LCN393247 KSR393240:KSR393247 KIV393240:KIV393247 JYZ393240:JYZ393247 JPD393240:JPD393247 JFH393240:JFH393247 IVL393240:IVL393247 ILP393240:ILP393247 IBT393240:IBT393247 HRX393240:HRX393247 HIB393240:HIB393247 GYF393240:GYF393247 GOJ393240:GOJ393247 GEN393240:GEN393247 FUR393240:FUR393247 FKV393240:FKV393247 FAZ393240:FAZ393247 ERD393240:ERD393247 EHH393240:EHH393247 DXL393240:DXL393247 DNP393240:DNP393247 DDT393240:DDT393247 CTX393240:CTX393247 CKB393240:CKB393247 CAF393240:CAF393247 BQJ393240:BQJ393247 BGN393240:BGN393247 AWR393240:AWR393247 AMV393240:AMV393247 ACZ393240:ACZ393247 TD393240:TD393247 JH393240:JH393247 L393240:L393247 WVT327704:WVT327711 WLX327704:WLX327711 WCB327704:WCB327711 VSF327704:VSF327711 VIJ327704:VIJ327711 UYN327704:UYN327711 UOR327704:UOR327711 UEV327704:UEV327711 TUZ327704:TUZ327711 TLD327704:TLD327711 TBH327704:TBH327711 SRL327704:SRL327711 SHP327704:SHP327711 RXT327704:RXT327711 RNX327704:RNX327711 REB327704:REB327711 QUF327704:QUF327711 QKJ327704:QKJ327711 QAN327704:QAN327711 PQR327704:PQR327711 PGV327704:PGV327711 OWZ327704:OWZ327711 OND327704:OND327711 ODH327704:ODH327711 NTL327704:NTL327711 NJP327704:NJP327711 MZT327704:MZT327711 MPX327704:MPX327711 MGB327704:MGB327711 LWF327704:LWF327711 LMJ327704:LMJ327711 LCN327704:LCN327711 KSR327704:KSR327711 KIV327704:KIV327711 JYZ327704:JYZ327711 JPD327704:JPD327711 JFH327704:JFH327711 IVL327704:IVL327711 ILP327704:ILP327711 IBT327704:IBT327711 HRX327704:HRX327711 HIB327704:HIB327711 GYF327704:GYF327711 GOJ327704:GOJ327711 GEN327704:GEN327711 FUR327704:FUR327711 FKV327704:FKV327711 FAZ327704:FAZ327711 ERD327704:ERD327711 EHH327704:EHH327711 DXL327704:DXL327711 DNP327704:DNP327711 DDT327704:DDT327711 CTX327704:CTX327711 CKB327704:CKB327711 CAF327704:CAF327711 BQJ327704:BQJ327711 BGN327704:BGN327711 AWR327704:AWR327711 AMV327704:AMV327711 ACZ327704:ACZ327711 TD327704:TD327711 JH327704:JH327711 L327704:L327711 WVT262168:WVT262175 WLX262168:WLX262175 WCB262168:WCB262175 VSF262168:VSF262175 VIJ262168:VIJ262175 UYN262168:UYN262175 UOR262168:UOR262175 UEV262168:UEV262175 TUZ262168:TUZ262175 TLD262168:TLD262175 TBH262168:TBH262175 SRL262168:SRL262175 SHP262168:SHP262175 RXT262168:RXT262175 RNX262168:RNX262175 REB262168:REB262175 QUF262168:QUF262175 QKJ262168:QKJ262175 QAN262168:QAN262175 PQR262168:PQR262175 PGV262168:PGV262175 OWZ262168:OWZ262175 OND262168:OND262175 ODH262168:ODH262175 NTL262168:NTL262175 NJP262168:NJP262175 MZT262168:MZT262175 MPX262168:MPX262175 MGB262168:MGB262175 LWF262168:LWF262175 LMJ262168:LMJ262175 LCN262168:LCN262175 KSR262168:KSR262175 KIV262168:KIV262175 JYZ262168:JYZ262175 JPD262168:JPD262175 JFH262168:JFH262175 IVL262168:IVL262175 ILP262168:ILP262175 IBT262168:IBT262175 HRX262168:HRX262175 HIB262168:HIB262175 GYF262168:GYF262175 GOJ262168:GOJ262175 GEN262168:GEN262175 FUR262168:FUR262175 FKV262168:FKV262175 FAZ262168:FAZ262175 ERD262168:ERD262175 EHH262168:EHH262175 DXL262168:DXL262175 DNP262168:DNP262175 DDT262168:DDT262175 CTX262168:CTX262175 CKB262168:CKB262175 CAF262168:CAF262175 BQJ262168:BQJ262175 BGN262168:BGN262175 AWR262168:AWR262175 AMV262168:AMV262175 ACZ262168:ACZ262175 TD262168:TD262175 JH262168:JH262175 L262168:L262175 WVT196632:WVT196639 WLX196632:WLX196639 WCB196632:WCB196639 VSF196632:VSF196639 VIJ196632:VIJ196639 UYN196632:UYN196639 UOR196632:UOR196639 UEV196632:UEV196639 TUZ196632:TUZ196639 TLD196632:TLD196639 TBH196632:TBH196639 SRL196632:SRL196639 SHP196632:SHP196639 RXT196632:RXT196639 RNX196632:RNX196639 REB196632:REB196639 QUF196632:QUF196639 QKJ196632:QKJ196639 QAN196632:QAN196639 PQR196632:PQR196639 PGV196632:PGV196639 OWZ196632:OWZ196639 OND196632:OND196639 ODH196632:ODH196639 NTL196632:NTL196639 NJP196632:NJP196639 MZT196632:MZT196639 MPX196632:MPX196639 MGB196632:MGB196639 LWF196632:LWF196639 LMJ196632:LMJ196639 LCN196632:LCN196639 KSR196632:KSR196639 KIV196632:KIV196639 JYZ196632:JYZ196639 JPD196632:JPD196639 JFH196632:JFH196639 IVL196632:IVL196639 ILP196632:ILP196639 IBT196632:IBT196639 HRX196632:HRX196639 HIB196632:HIB196639 GYF196632:GYF196639 GOJ196632:GOJ196639 GEN196632:GEN196639 FUR196632:FUR196639 FKV196632:FKV196639 FAZ196632:FAZ196639 ERD196632:ERD196639 EHH196632:EHH196639 DXL196632:DXL196639 DNP196632:DNP196639 DDT196632:DDT196639 CTX196632:CTX196639 CKB196632:CKB196639 CAF196632:CAF196639 BQJ196632:BQJ196639 BGN196632:BGN196639 AWR196632:AWR196639 AMV196632:AMV196639 ACZ196632:ACZ196639 TD196632:TD196639 JH196632:JH196639 L196632:L196639 WVT131096:WVT131103 WLX131096:WLX131103 WCB131096:WCB131103 VSF131096:VSF131103 VIJ131096:VIJ131103 UYN131096:UYN131103 UOR131096:UOR131103 UEV131096:UEV131103 TUZ131096:TUZ131103 TLD131096:TLD131103 TBH131096:TBH131103 SRL131096:SRL131103 SHP131096:SHP131103 RXT131096:RXT131103 RNX131096:RNX131103 REB131096:REB131103 QUF131096:QUF131103 QKJ131096:QKJ131103 QAN131096:QAN131103 PQR131096:PQR131103 PGV131096:PGV131103 OWZ131096:OWZ131103 OND131096:OND131103 ODH131096:ODH131103 NTL131096:NTL131103 NJP131096:NJP131103 MZT131096:MZT131103 MPX131096:MPX131103 MGB131096:MGB131103 LWF131096:LWF131103 LMJ131096:LMJ131103 LCN131096:LCN131103 KSR131096:KSR131103 KIV131096:KIV131103 JYZ131096:JYZ131103 JPD131096:JPD131103 JFH131096:JFH131103 IVL131096:IVL131103 ILP131096:ILP131103 IBT131096:IBT131103 HRX131096:HRX131103 HIB131096:HIB131103 GYF131096:GYF131103 GOJ131096:GOJ131103 GEN131096:GEN131103 FUR131096:FUR131103 FKV131096:FKV131103 FAZ131096:FAZ131103 ERD131096:ERD131103 EHH131096:EHH131103 DXL131096:DXL131103 DNP131096:DNP131103 DDT131096:DDT131103 CTX131096:CTX131103 CKB131096:CKB131103 CAF131096:CAF131103 BQJ131096:BQJ131103 BGN131096:BGN131103 AWR131096:AWR131103 AMV131096:AMV131103 ACZ131096:ACZ131103 TD131096:TD131103 JH131096:JH131103 L131096:L131103 WVT65560:WVT65567 WLX65560:WLX65567 WCB65560:WCB65567 VSF65560:VSF65567 VIJ65560:VIJ65567 UYN65560:UYN65567 UOR65560:UOR65567 UEV65560:UEV65567 TUZ65560:TUZ65567 TLD65560:TLD65567 TBH65560:TBH65567 SRL65560:SRL65567 SHP65560:SHP65567 RXT65560:RXT65567 RNX65560:RNX65567 REB65560:REB65567 QUF65560:QUF65567 QKJ65560:QKJ65567 QAN65560:QAN65567 PQR65560:PQR65567 PGV65560:PGV65567 OWZ65560:OWZ65567 OND65560:OND65567 ODH65560:ODH65567 NTL65560:NTL65567 NJP65560:NJP65567 MZT65560:MZT65567 MPX65560:MPX65567 MGB65560:MGB65567 LWF65560:LWF65567 LMJ65560:LMJ65567 LCN65560:LCN65567 KSR65560:KSR65567 KIV65560:KIV65567 JYZ65560:JYZ65567 JPD65560:JPD65567 JFH65560:JFH65567 IVL65560:IVL65567 ILP65560:ILP65567 IBT65560:IBT65567 HRX65560:HRX65567 HIB65560:HIB65567 GYF65560:GYF65567 GOJ65560:GOJ65567 GEN65560:GEN65567 FUR65560:FUR65567 FKV65560:FKV65567 FAZ65560:FAZ65567 ERD65560:ERD65567 EHH65560:EHH65567 DXL65560:DXL65567 DNP65560:DNP65567 DDT65560:DDT65567 CTX65560:CTX65567 CKB65560:CKB65567 CAF65560:CAF65567 BQJ65560:BQJ65567 BGN65560:BGN65567 AWR65560:AWR65567 AMV65560:AMV65567 ACZ65560:ACZ65567 TD65560:TD65567 JH65560:JH65567 L65560:L65567 WVT58:WVT67 WLX58:WLX67 WCB58:WCB67 VSF58:VSF67 VIJ58:VIJ67 UYN58:UYN67 UOR58:UOR67 UEV58:UEV67 TUZ58:TUZ67 TLD58:TLD67 TBH58:TBH67 SRL58:SRL67 SHP58:SHP67 RXT58:RXT67 RNX58:RNX67 REB58:REB67 QUF58:QUF67 QKJ58:QKJ67 QAN58:QAN67 PQR58:PQR67 PGV58:PGV67 OWZ58:OWZ67 OND58:OND67 ODH58:ODH67 NTL58:NTL67 NJP58:NJP67 MZT58:MZT67 MPX58:MPX67 MGB58:MGB67 LWF58:LWF67 LMJ58:LMJ67 LCN58:LCN67 KSR58:KSR67 KIV58:KIV67 JYZ58:JYZ67 JPD58:JPD67 JFH58:JFH67 IVL58:IVL67 ILP58:ILP67 IBT58:IBT67 HRX58:HRX67 HIB58:HIB67 GYF58:GYF67 GOJ58:GOJ67 GEN58:GEN67 FUR58:FUR67 FKV58:FKV67 FAZ58:FAZ67 ERD58:ERD67 EHH58:EHH67 DXL58:DXL67 DNP58:DNP67 DDT58:DDT67 CTX58:CTX67 CKB58:CKB67 CAF58:CAF67 BQJ58:BQJ67 BGN58:BGN67 AWR58:AWR67 AMV58:AMV67 ACZ58:ACZ67 TD58:TD67 JH58:JH67 WLX983064:WLX983071 JH73:JH77 WVT983078:WVT983116 WLX983078:WLX983116 WCB983078:WCB983116 VSF983078:VSF983116 VIJ983078:VIJ983116 UYN983078:UYN983116 UOR983078:UOR983116 UEV983078:UEV983116 TUZ983078:TUZ983116 TLD983078:TLD983116 TBH983078:TBH983116 SRL983078:SRL983116 SHP983078:SHP983116 RXT983078:RXT983116 RNX983078:RNX983116 REB983078:REB983116 QUF983078:QUF983116 QKJ983078:QKJ983116 QAN983078:QAN983116 PQR983078:PQR983116 PGV983078:PGV983116 OWZ983078:OWZ983116 OND983078:OND983116 ODH983078:ODH983116 NTL983078:NTL983116 NJP983078:NJP983116 MZT983078:MZT983116 MPX983078:MPX983116 MGB983078:MGB983116 LWF983078:LWF983116 LMJ983078:LMJ983116 LCN983078:LCN983116 KSR983078:KSR983116 KIV983078:KIV983116 JYZ983078:JYZ983116 JPD983078:JPD983116 JFH983078:JFH983116 IVL983078:IVL983116 ILP983078:ILP983116 IBT983078:IBT983116 HRX983078:HRX983116 HIB983078:HIB983116 GYF983078:GYF983116 GOJ983078:GOJ983116 GEN983078:GEN983116 FUR983078:FUR983116 FKV983078:FKV983116 FAZ983078:FAZ983116 ERD983078:ERD983116 EHH983078:EHH983116 DXL983078:DXL983116 DNP983078:DNP983116 DDT983078:DDT983116 CTX983078:CTX983116 CKB983078:CKB983116 CAF983078:CAF983116 BQJ983078:BQJ983116 BGN983078:BGN983116 AWR983078:AWR983116 AMV983078:AMV983116 ACZ983078:ACZ983116 TD983078:TD983116 JH983078:JH983116 L983078:L983116 WVT917542:WVT917580 WLX917542:WLX917580 WCB917542:WCB917580 VSF917542:VSF917580 VIJ917542:VIJ917580 UYN917542:UYN917580 UOR917542:UOR917580 UEV917542:UEV917580 TUZ917542:TUZ917580 TLD917542:TLD917580 TBH917542:TBH917580 SRL917542:SRL917580 SHP917542:SHP917580 RXT917542:RXT917580 RNX917542:RNX917580 REB917542:REB917580 QUF917542:QUF917580 QKJ917542:QKJ917580 QAN917542:QAN917580 PQR917542:PQR917580 PGV917542:PGV917580 OWZ917542:OWZ917580 OND917542:OND917580 ODH917542:ODH917580 NTL917542:NTL917580 NJP917542:NJP917580 MZT917542:MZT917580 MPX917542:MPX917580 MGB917542:MGB917580 LWF917542:LWF917580 LMJ917542:LMJ917580 LCN917542:LCN917580 KSR917542:KSR917580 KIV917542:KIV917580 JYZ917542:JYZ917580 JPD917542:JPD917580 JFH917542:JFH917580 IVL917542:IVL917580 ILP917542:ILP917580 IBT917542:IBT917580 HRX917542:HRX917580 HIB917542:HIB917580 GYF917542:GYF917580 GOJ917542:GOJ917580 GEN917542:GEN917580 FUR917542:FUR917580 FKV917542:FKV917580 FAZ917542:FAZ917580 ERD917542:ERD917580 EHH917542:EHH917580 DXL917542:DXL917580 DNP917542:DNP917580 DDT917542:DDT917580 CTX917542:CTX917580 CKB917542:CKB917580 CAF917542:CAF917580 BQJ917542:BQJ917580 BGN917542:BGN917580 AWR917542:AWR917580 AMV917542:AMV917580 ACZ917542:ACZ917580 TD917542:TD917580 JH917542:JH917580 L917542:L917580 WVT852006:WVT852044 WLX852006:WLX852044 WCB852006:WCB852044 VSF852006:VSF852044 VIJ852006:VIJ852044 UYN852006:UYN852044 UOR852006:UOR852044 UEV852006:UEV852044 TUZ852006:TUZ852044 TLD852006:TLD852044 TBH852006:TBH852044 SRL852006:SRL852044 SHP852006:SHP852044 RXT852006:RXT852044 RNX852006:RNX852044 REB852006:REB852044 QUF852006:QUF852044 QKJ852006:QKJ852044 QAN852006:QAN852044 PQR852006:PQR852044 PGV852006:PGV852044 OWZ852006:OWZ852044 OND852006:OND852044 ODH852006:ODH852044 NTL852006:NTL852044 NJP852006:NJP852044 MZT852006:MZT852044 MPX852006:MPX852044 MGB852006:MGB852044 LWF852006:LWF852044 LMJ852006:LMJ852044 LCN852006:LCN852044 KSR852006:KSR852044 KIV852006:KIV852044 JYZ852006:JYZ852044 JPD852006:JPD852044 JFH852006:JFH852044 IVL852006:IVL852044 ILP852006:ILP852044 IBT852006:IBT852044 HRX852006:HRX852044 HIB852006:HIB852044 GYF852006:GYF852044 GOJ852006:GOJ852044 GEN852006:GEN852044 FUR852006:FUR852044 FKV852006:FKV852044 FAZ852006:FAZ852044 ERD852006:ERD852044 EHH852006:EHH852044 DXL852006:DXL852044 DNP852006:DNP852044 DDT852006:DDT852044 CTX852006:CTX852044 CKB852006:CKB852044 CAF852006:CAF852044 BQJ852006:BQJ852044 BGN852006:BGN852044 AWR852006:AWR852044 AMV852006:AMV852044 ACZ852006:ACZ852044 TD852006:TD852044 JH852006:JH852044 L852006:L852044 WVT786470:WVT786508 WLX786470:WLX786508 WCB786470:WCB786508 VSF786470:VSF786508 VIJ786470:VIJ786508 UYN786470:UYN786508 UOR786470:UOR786508 UEV786470:UEV786508 TUZ786470:TUZ786508 TLD786470:TLD786508 TBH786470:TBH786508 SRL786470:SRL786508 SHP786470:SHP786508 RXT786470:RXT786508 RNX786470:RNX786508 REB786470:REB786508 QUF786470:QUF786508 QKJ786470:QKJ786508 QAN786470:QAN786508 PQR786470:PQR786508 PGV786470:PGV786508 OWZ786470:OWZ786508 OND786470:OND786508 ODH786470:ODH786508 NTL786470:NTL786508 NJP786470:NJP786508 MZT786470:MZT786508 MPX786470:MPX786508 MGB786470:MGB786508 LWF786470:LWF786508 LMJ786470:LMJ786508 LCN786470:LCN786508 KSR786470:KSR786508 KIV786470:KIV786508 JYZ786470:JYZ786508 JPD786470:JPD786508 JFH786470:JFH786508 IVL786470:IVL786508 ILP786470:ILP786508 IBT786470:IBT786508 HRX786470:HRX786508 HIB786470:HIB786508 GYF786470:GYF786508 GOJ786470:GOJ786508 GEN786470:GEN786508 FUR786470:FUR786508 FKV786470:FKV786508 FAZ786470:FAZ786508 ERD786470:ERD786508 EHH786470:EHH786508 DXL786470:DXL786508 DNP786470:DNP786508 DDT786470:DDT786508 CTX786470:CTX786508 CKB786470:CKB786508 CAF786470:CAF786508 BQJ786470:BQJ786508 BGN786470:BGN786508 AWR786470:AWR786508 AMV786470:AMV786508 ACZ786470:ACZ786508 TD786470:TD786508 JH786470:JH786508 L786470:L786508 WVT720934:WVT720972 WLX720934:WLX720972 WCB720934:WCB720972 VSF720934:VSF720972 VIJ720934:VIJ720972 UYN720934:UYN720972 UOR720934:UOR720972 UEV720934:UEV720972 TUZ720934:TUZ720972 TLD720934:TLD720972 TBH720934:TBH720972 SRL720934:SRL720972 SHP720934:SHP720972 RXT720934:RXT720972 RNX720934:RNX720972 REB720934:REB720972 QUF720934:QUF720972 QKJ720934:QKJ720972 QAN720934:QAN720972 PQR720934:PQR720972 PGV720934:PGV720972 OWZ720934:OWZ720972 OND720934:OND720972 ODH720934:ODH720972 NTL720934:NTL720972 NJP720934:NJP720972 MZT720934:MZT720972 MPX720934:MPX720972 MGB720934:MGB720972 LWF720934:LWF720972 LMJ720934:LMJ720972 LCN720934:LCN720972 KSR720934:KSR720972 KIV720934:KIV720972 JYZ720934:JYZ720972 JPD720934:JPD720972 JFH720934:JFH720972 IVL720934:IVL720972 ILP720934:ILP720972 IBT720934:IBT720972 HRX720934:HRX720972 HIB720934:HIB720972 GYF720934:GYF720972 GOJ720934:GOJ720972 GEN720934:GEN720972 FUR720934:FUR720972 FKV720934:FKV720972 FAZ720934:FAZ720972 ERD720934:ERD720972 EHH720934:EHH720972 DXL720934:DXL720972 DNP720934:DNP720972 DDT720934:DDT720972 CTX720934:CTX720972 CKB720934:CKB720972 CAF720934:CAF720972 BQJ720934:BQJ720972 BGN720934:BGN720972 AWR720934:AWR720972 AMV720934:AMV720972 ACZ720934:ACZ720972 TD720934:TD720972 JH720934:JH720972 L720934:L720972 WVT655398:WVT655436 WLX655398:WLX655436 WCB655398:WCB655436 VSF655398:VSF655436 VIJ655398:VIJ655436 UYN655398:UYN655436 UOR655398:UOR655436 UEV655398:UEV655436 TUZ655398:TUZ655436 TLD655398:TLD655436 TBH655398:TBH655436 SRL655398:SRL655436 SHP655398:SHP655436 RXT655398:RXT655436 RNX655398:RNX655436 REB655398:REB655436 QUF655398:QUF655436 QKJ655398:QKJ655436 QAN655398:QAN655436 PQR655398:PQR655436 PGV655398:PGV655436 OWZ655398:OWZ655436 OND655398:OND655436 ODH655398:ODH655436 NTL655398:NTL655436 NJP655398:NJP655436 MZT655398:MZT655436 MPX655398:MPX655436 MGB655398:MGB655436 LWF655398:LWF655436 LMJ655398:LMJ655436 LCN655398:LCN655436 KSR655398:KSR655436 KIV655398:KIV655436 JYZ655398:JYZ655436 JPD655398:JPD655436 JFH655398:JFH655436 IVL655398:IVL655436 ILP655398:ILP655436 IBT655398:IBT655436 HRX655398:HRX655436 HIB655398:HIB655436 GYF655398:GYF655436 GOJ655398:GOJ655436 GEN655398:GEN655436 FUR655398:FUR655436 FKV655398:FKV655436 FAZ655398:FAZ655436 ERD655398:ERD655436 EHH655398:EHH655436 DXL655398:DXL655436 DNP655398:DNP655436 DDT655398:DDT655436 CTX655398:CTX655436 CKB655398:CKB655436 CAF655398:CAF655436 BQJ655398:BQJ655436 BGN655398:BGN655436 AWR655398:AWR655436 AMV655398:AMV655436 ACZ655398:ACZ655436 TD655398:TD655436 JH655398:JH655436 L655398:L655436 WVT589862:WVT589900 WLX589862:WLX589900 WCB589862:WCB589900 VSF589862:VSF589900 VIJ589862:VIJ589900 UYN589862:UYN589900 UOR589862:UOR589900 UEV589862:UEV589900 TUZ589862:TUZ589900 TLD589862:TLD589900 TBH589862:TBH589900 SRL589862:SRL589900 SHP589862:SHP589900 RXT589862:RXT589900 RNX589862:RNX589900 REB589862:REB589900 QUF589862:QUF589900 QKJ589862:QKJ589900 QAN589862:QAN589900 PQR589862:PQR589900 PGV589862:PGV589900 OWZ589862:OWZ589900 OND589862:OND589900 ODH589862:ODH589900 NTL589862:NTL589900 NJP589862:NJP589900 MZT589862:MZT589900 MPX589862:MPX589900 MGB589862:MGB589900 LWF589862:LWF589900 LMJ589862:LMJ589900 LCN589862:LCN589900 KSR589862:KSR589900 KIV589862:KIV589900 JYZ589862:JYZ589900 JPD589862:JPD589900 JFH589862:JFH589900 IVL589862:IVL589900 ILP589862:ILP589900 IBT589862:IBT589900 HRX589862:HRX589900 HIB589862:HIB589900 GYF589862:GYF589900 GOJ589862:GOJ589900 GEN589862:GEN589900 FUR589862:FUR589900 FKV589862:FKV589900 FAZ589862:FAZ589900 ERD589862:ERD589900 EHH589862:EHH589900 DXL589862:DXL589900 DNP589862:DNP589900 DDT589862:DDT589900 CTX589862:CTX589900 CKB589862:CKB589900 CAF589862:CAF589900 BQJ589862:BQJ589900 BGN589862:BGN589900 AWR589862:AWR589900 AMV589862:AMV589900 ACZ589862:ACZ589900 TD589862:TD589900 JH589862:JH589900 L589862:L589900 WVT524326:WVT524364 WLX524326:WLX524364 WCB524326:WCB524364 VSF524326:VSF524364 VIJ524326:VIJ524364 UYN524326:UYN524364 UOR524326:UOR524364 UEV524326:UEV524364 TUZ524326:TUZ524364 TLD524326:TLD524364 TBH524326:TBH524364 SRL524326:SRL524364 SHP524326:SHP524364 RXT524326:RXT524364 RNX524326:RNX524364 REB524326:REB524364 QUF524326:QUF524364 QKJ524326:QKJ524364 QAN524326:QAN524364 PQR524326:PQR524364 PGV524326:PGV524364 OWZ524326:OWZ524364 OND524326:OND524364 ODH524326:ODH524364 NTL524326:NTL524364 NJP524326:NJP524364 MZT524326:MZT524364 MPX524326:MPX524364 MGB524326:MGB524364 LWF524326:LWF524364 LMJ524326:LMJ524364 LCN524326:LCN524364 KSR524326:KSR524364 KIV524326:KIV524364 JYZ524326:JYZ524364 JPD524326:JPD524364 JFH524326:JFH524364 IVL524326:IVL524364 ILP524326:ILP524364 IBT524326:IBT524364 HRX524326:HRX524364 HIB524326:HIB524364 GYF524326:GYF524364 GOJ524326:GOJ524364 GEN524326:GEN524364 FUR524326:FUR524364 FKV524326:FKV524364 FAZ524326:FAZ524364 ERD524326:ERD524364 EHH524326:EHH524364 DXL524326:DXL524364 DNP524326:DNP524364 DDT524326:DDT524364 CTX524326:CTX524364 CKB524326:CKB524364 CAF524326:CAF524364 BQJ524326:BQJ524364 BGN524326:BGN524364 AWR524326:AWR524364 AMV524326:AMV524364 ACZ524326:ACZ524364 TD524326:TD524364 JH524326:JH524364 L524326:L524364 WVT458790:WVT458828 WLX458790:WLX458828 WCB458790:WCB458828 VSF458790:VSF458828 VIJ458790:VIJ458828 UYN458790:UYN458828 UOR458790:UOR458828 UEV458790:UEV458828 TUZ458790:TUZ458828 TLD458790:TLD458828 TBH458790:TBH458828 SRL458790:SRL458828 SHP458790:SHP458828 RXT458790:RXT458828 RNX458790:RNX458828 REB458790:REB458828 QUF458790:QUF458828 QKJ458790:QKJ458828 QAN458790:QAN458828 PQR458790:PQR458828 PGV458790:PGV458828 OWZ458790:OWZ458828 OND458790:OND458828 ODH458790:ODH458828 NTL458790:NTL458828 NJP458790:NJP458828 MZT458790:MZT458828 MPX458790:MPX458828 MGB458790:MGB458828 LWF458790:LWF458828 LMJ458790:LMJ458828 LCN458790:LCN458828 KSR458790:KSR458828 KIV458790:KIV458828 JYZ458790:JYZ458828 JPD458790:JPD458828 JFH458790:JFH458828 IVL458790:IVL458828 ILP458790:ILP458828 IBT458790:IBT458828 HRX458790:HRX458828 HIB458790:HIB458828 GYF458790:GYF458828 GOJ458790:GOJ458828 GEN458790:GEN458828 FUR458790:FUR458828 FKV458790:FKV458828 FAZ458790:FAZ458828 ERD458790:ERD458828 EHH458790:EHH458828 DXL458790:DXL458828 DNP458790:DNP458828 DDT458790:DDT458828 CTX458790:CTX458828 CKB458790:CKB458828 CAF458790:CAF458828 BQJ458790:BQJ458828 BGN458790:BGN458828 AWR458790:AWR458828 AMV458790:AMV458828 ACZ458790:ACZ458828 TD458790:TD458828 JH458790:JH458828 L458790:L458828 WVT393254:WVT393292 WLX393254:WLX393292 WCB393254:WCB393292 VSF393254:VSF393292 VIJ393254:VIJ393292 UYN393254:UYN393292 UOR393254:UOR393292 UEV393254:UEV393292 TUZ393254:TUZ393292 TLD393254:TLD393292 TBH393254:TBH393292 SRL393254:SRL393292 SHP393254:SHP393292 RXT393254:RXT393292 RNX393254:RNX393292 REB393254:REB393292 QUF393254:QUF393292 QKJ393254:QKJ393292 QAN393254:QAN393292 PQR393254:PQR393292 PGV393254:PGV393292 OWZ393254:OWZ393292 OND393254:OND393292 ODH393254:ODH393292 NTL393254:NTL393292 NJP393254:NJP393292 MZT393254:MZT393292 MPX393254:MPX393292 MGB393254:MGB393292 LWF393254:LWF393292 LMJ393254:LMJ393292 LCN393254:LCN393292 KSR393254:KSR393292 KIV393254:KIV393292 JYZ393254:JYZ393292 JPD393254:JPD393292 JFH393254:JFH393292 IVL393254:IVL393292 ILP393254:ILP393292 IBT393254:IBT393292 HRX393254:HRX393292 HIB393254:HIB393292 GYF393254:GYF393292 GOJ393254:GOJ393292 GEN393254:GEN393292 FUR393254:FUR393292 FKV393254:FKV393292 FAZ393254:FAZ393292 ERD393254:ERD393292 EHH393254:EHH393292 DXL393254:DXL393292 DNP393254:DNP393292 DDT393254:DDT393292 CTX393254:CTX393292 CKB393254:CKB393292 CAF393254:CAF393292 BQJ393254:BQJ393292 BGN393254:BGN393292 AWR393254:AWR393292 AMV393254:AMV393292 ACZ393254:ACZ393292 TD393254:TD393292 JH393254:JH393292 L393254:L393292 WVT327718:WVT327756 WLX327718:WLX327756 WCB327718:WCB327756 VSF327718:VSF327756 VIJ327718:VIJ327756 UYN327718:UYN327756 UOR327718:UOR327756 UEV327718:UEV327756 TUZ327718:TUZ327756 TLD327718:TLD327756 TBH327718:TBH327756 SRL327718:SRL327756 SHP327718:SHP327756 RXT327718:RXT327756 RNX327718:RNX327756 REB327718:REB327756 QUF327718:QUF327756 QKJ327718:QKJ327756 QAN327718:QAN327756 PQR327718:PQR327756 PGV327718:PGV327756 OWZ327718:OWZ327756 OND327718:OND327756 ODH327718:ODH327756 NTL327718:NTL327756 NJP327718:NJP327756 MZT327718:MZT327756 MPX327718:MPX327756 MGB327718:MGB327756 LWF327718:LWF327756 LMJ327718:LMJ327756 LCN327718:LCN327756 KSR327718:KSR327756 KIV327718:KIV327756 JYZ327718:JYZ327756 JPD327718:JPD327756 JFH327718:JFH327756 IVL327718:IVL327756 ILP327718:ILP327756 IBT327718:IBT327756 HRX327718:HRX327756 HIB327718:HIB327756 GYF327718:GYF327756 GOJ327718:GOJ327756 GEN327718:GEN327756 FUR327718:FUR327756 FKV327718:FKV327756 FAZ327718:FAZ327756 ERD327718:ERD327756 EHH327718:EHH327756 DXL327718:DXL327756 DNP327718:DNP327756 DDT327718:DDT327756 CTX327718:CTX327756 CKB327718:CKB327756 CAF327718:CAF327756 BQJ327718:BQJ327756 BGN327718:BGN327756 AWR327718:AWR327756 AMV327718:AMV327756 ACZ327718:ACZ327756 TD327718:TD327756 JH327718:JH327756 L327718:L327756 WVT262182:WVT262220 WLX262182:WLX262220 WCB262182:WCB262220 VSF262182:VSF262220 VIJ262182:VIJ262220 UYN262182:UYN262220 UOR262182:UOR262220 UEV262182:UEV262220 TUZ262182:TUZ262220 TLD262182:TLD262220 TBH262182:TBH262220 SRL262182:SRL262220 SHP262182:SHP262220 RXT262182:RXT262220 RNX262182:RNX262220 REB262182:REB262220 QUF262182:QUF262220 QKJ262182:QKJ262220 QAN262182:QAN262220 PQR262182:PQR262220 PGV262182:PGV262220 OWZ262182:OWZ262220 OND262182:OND262220 ODH262182:ODH262220 NTL262182:NTL262220 NJP262182:NJP262220 MZT262182:MZT262220 MPX262182:MPX262220 MGB262182:MGB262220 LWF262182:LWF262220 LMJ262182:LMJ262220 LCN262182:LCN262220 KSR262182:KSR262220 KIV262182:KIV262220 JYZ262182:JYZ262220 JPD262182:JPD262220 JFH262182:JFH262220 IVL262182:IVL262220 ILP262182:ILP262220 IBT262182:IBT262220 HRX262182:HRX262220 HIB262182:HIB262220 GYF262182:GYF262220 GOJ262182:GOJ262220 GEN262182:GEN262220 FUR262182:FUR262220 FKV262182:FKV262220 FAZ262182:FAZ262220 ERD262182:ERD262220 EHH262182:EHH262220 DXL262182:DXL262220 DNP262182:DNP262220 DDT262182:DDT262220 CTX262182:CTX262220 CKB262182:CKB262220 CAF262182:CAF262220 BQJ262182:BQJ262220 BGN262182:BGN262220 AWR262182:AWR262220 AMV262182:AMV262220 ACZ262182:ACZ262220 TD262182:TD262220 JH262182:JH262220 L262182:L262220 WVT196646:WVT196684 WLX196646:WLX196684 WCB196646:WCB196684 VSF196646:VSF196684 VIJ196646:VIJ196684 UYN196646:UYN196684 UOR196646:UOR196684 UEV196646:UEV196684 TUZ196646:TUZ196684 TLD196646:TLD196684 TBH196646:TBH196684 SRL196646:SRL196684 SHP196646:SHP196684 RXT196646:RXT196684 RNX196646:RNX196684 REB196646:REB196684 QUF196646:QUF196684 QKJ196646:QKJ196684 QAN196646:QAN196684 PQR196646:PQR196684 PGV196646:PGV196684 OWZ196646:OWZ196684 OND196646:OND196684 ODH196646:ODH196684 NTL196646:NTL196684 NJP196646:NJP196684 MZT196646:MZT196684 MPX196646:MPX196684 MGB196646:MGB196684 LWF196646:LWF196684 LMJ196646:LMJ196684 LCN196646:LCN196684 KSR196646:KSR196684 KIV196646:KIV196684 JYZ196646:JYZ196684 JPD196646:JPD196684 JFH196646:JFH196684 IVL196646:IVL196684 ILP196646:ILP196684 IBT196646:IBT196684 HRX196646:HRX196684 HIB196646:HIB196684 GYF196646:GYF196684 GOJ196646:GOJ196684 GEN196646:GEN196684 FUR196646:FUR196684 FKV196646:FKV196684 FAZ196646:FAZ196684 ERD196646:ERD196684 EHH196646:EHH196684 DXL196646:DXL196684 DNP196646:DNP196684 DDT196646:DDT196684 CTX196646:CTX196684 CKB196646:CKB196684 CAF196646:CAF196684 BQJ196646:BQJ196684 BGN196646:BGN196684 AWR196646:AWR196684 AMV196646:AMV196684 ACZ196646:ACZ196684 TD196646:TD196684 JH196646:JH196684 L196646:L196684 WVT131110:WVT131148 WLX131110:WLX131148 WCB131110:WCB131148 VSF131110:VSF131148 VIJ131110:VIJ131148 UYN131110:UYN131148 UOR131110:UOR131148 UEV131110:UEV131148 TUZ131110:TUZ131148 TLD131110:TLD131148 TBH131110:TBH131148 SRL131110:SRL131148 SHP131110:SHP131148 RXT131110:RXT131148 RNX131110:RNX131148 REB131110:REB131148 QUF131110:QUF131148 QKJ131110:QKJ131148 QAN131110:QAN131148 PQR131110:PQR131148 PGV131110:PGV131148 OWZ131110:OWZ131148 OND131110:OND131148 ODH131110:ODH131148 NTL131110:NTL131148 NJP131110:NJP131148 MZT131110:MZT131148 MPX131110:MPX131148 MGB131110:MGB131148 LWF131110:LWF131148 LMJ131110:LMJ131148 LCN131110:LCN131148 KSR131110:KSR131148 KIV131110:KIV131148 JYZ131110:JYZ131148 JPD131110:JPD131148 JFH131110:JFH131148 IVL131110:IVL131148 ILP131110:ILP131148 IBT131110:IBT131148 HRX131110:HRX131148 HIB131110:HIB131148 GYF131110:GYF131148 GOJ131110:GOJ131148 GEN131110:GEN131148 FUR131110:FUR131148 FKV131110:FKV131148 FAZ131110:FAZ131148 ERD131110:ERD131148 EHH131110:EHH131148 DXL131110:DXL131148 DNP131110:DNP131148 DDT131110:DDT131148 CTX131110:CTX131148 CKB131110:CKB131148 CAF131110:CAF131148 BQJ131110:BQJ131148 BGN131110:BGN131148 AWR131110:AWR131148 AMV131110:AMV131148 ACZ131110:ACZ131148 TD131110:TD131148 JH131110:JH131148 L131110:L131148 WVT65574:WVT65612 WLX65574:WLX65612 WCB65574:WCB65612 VSF65574:VSF65612 VIJ65574:VIJ65612 UYN65574:UYN65612 UOR65574:UOR65612 UEV65574:UEV65612 TUZ65574:TUZ65612 TLD65574:TLD65612 TBH65574:TBH65612 SRL65574:SRL65612 SHP65574:SHP65612 RXT65574:RXT65612 RNX65574:RNX65612 REB65574:REB65612 QUF65574:QUF65612 QKJ65574:QKJ65612 QAN65574:QAN65612 PQR65574:PQR65612 PGV65574:PGV65612 OWZ65574:OWZ65612 OND65574:OND65612 ODH65574:ODH65612 NTL65574:NTL65612 NJP65574:NJP65612 MZT65574:MZT65612 MPX65574:MPX65612 MGB65574:MGB65612 LWF65574:LWF65612 LMJ65574:LMJ65612 LCN65574:LCN65612 KSR65574:KSR65612 KIV65574:KIV65612 JYZ65574:JYZ65612 JPD65574:JPD65612 JFH65574:JFH65612 IVL65574:IVL65612 ILP65574:ILP65612 IBT65574:IBT65612 HRX65574:HRX65612 HIB65574:HIB65612 GYF65574:GYF65612 GOJ65574:GOJ65612 GEN65574:GEN65612 FUR65574:FUR65612 FKV65574:FKV65612 FAZ65574:FAZ65612 ERD65574:ERD65612 EHH65574:EHH65612 DXL65574:DXL65612 DNP65574:DNP65612 DDT65574:DDT65612 CTX65574:CTX65612 CKB65574:CKB65612 CAF65574:CAF65612 BQJ65574:BQJ65612 BGN65574:BGN65612 AWR65574:AWR65612 AMV65574:AMV65612 ACZ65574:ACZ65612 TD65574:TD65612 JH65574:JH65612 L65574:L65612 WVT73:WVT77 WLX73:WLX77 WCB73:WCB77 VSF73:VSF77 VIJ73:VIJ77 UYN73:UYN77 UOR73:UOR77 UEV73:UEV77 TUZ73:TUZ77 TLD73:TLD77 TBH73:TBH77 SRL73:SRL77 SHP73:SHP77 RXT73:RXT77 RNX73:RNX77 REB73:REB77 QUF73:QUF77 QKJ73:QKJ77 QAN73:QAN77 PQR73:PQR77 PGV73:PGV77 OWZ73:OWZ77 OND73:OND77 ODH73:ODH77 NTL73:NTL77 NJP73:NJP77 MZT73:MZT77 MPX73:MPX77 MGB73:MGB77 LWF73:LWF77 LMJ73:LMJ77 LCN73:LCN77 KSR73:KSR77 KIV73:KIV77 JYZ73:JYZ77 JPD73:JPD77 JFH73:JFH77 IVL73:IVL77 ILP73:ILP77 IBT73:IBT77 HRX73:HRX77 HIB73:HIB77 GYF73:GYF77 GOJ73:GOJ77 GEN73:GEN77 FUR73:FUR77 FKV73:FKV77 FAZ73:FAZ77 ERD73:ERD77 EHH73:EHH77 DXL73:DXL77 DNP73:DNP77 DDT73:DDT77 CTX73:CTX77 CKB73:CKB77 CAF73:CAF77 BQJ73:BQJ77 BGN73:BGN77 AWR73:AWR77 AMV73:AMV77 ACZ73:ACZ77 TD73:TD77 L58:L67 L73:L77">
      <formula1>$H$136:$H$141</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6145" r:id="rId4" name="Process">
          <controlPr defaultSize="0" autoFill="0" autoLine="0" r:id="rId5">
            <anchor moveWithCells="1">
              <from>
                <xdr:col>3</xdr:col>
                <xdr:colOff>85725</xdr:colOff>
                <xdr:row>16</xdr:row>
                <xdr:rowOff>76200</xdr:rowOff>
              </from>
              <to>
                <xdr:col>3</xdr:col>
                <xdr:colOff>809625</xdr:colOff>
                <xdr:row>16</xdr:row>
                <xdr:rowOff>276225</xdr:rowOff>
              </to>
            </anchor>
          </controlPr>
        </control>
      </mc:Choice>
      <mc:Fallback>
        <control shapeId="6145" r:id="rId4" name="Process"/>
      </mc:Fallback>
    </mc:AlternateContent>
    <mc:AlternateContent xmlns:mc="http://schemas.openxmlformats.org/markup-compatibility/2006">
      <mc:Choice Requires="x14">
        <control shapeId="6146" r:id="rId6" name="CheckBox1">
          <controlPr defaultSize="0" autoFill="0" autoLine="0" r:id="rId7">
            <anchor moveWithCells="1">
              <from>
                <xdr:col>3</xdr:col>
                <xdr:colOff>1419225</xdr:colOff>
                <xdr:row>16</xdr:row>
                <xdr:rowOff>76200</xdr:rowOff>
              </from>
              <to>
                <xdr:col>3</xdr:col>
                <xdr:colOff>2295525</xdr:colOff>
                <xdr:row>16</xdr:row>
                <xdr:rowOff>276225</xdr:rowOff>
              </to>
            </anchor>
          </controlPr>
        </control>
      </mc:Choice>
      <mc:Fallback>
        <control shapeId="6146" r:id="rId6" name="CheckBox1"/>
      </mc:Fallback>
    </mc:AlternateContent>
    <mc:AlternateContent xmlns:mc="http://schemas.openxmlformats.org/markup-compatibility/2006">
      <mc:Choice Requires="x14">
        <control shapeId="6147" r:id="rId8" name="CheckBox2">
          <controlPr defaultSize="0" autoFill="0" autoLine="0" r:id="rId9">
            <anchor moveWithCells="1">
              <from>
                <xdr:col>3</xdr:col>
                <xdr:colOff>2657475</xdr:colOff>
                <xdr:row>16</xdr:row>
                <xdr:rowOff>66675</xdr:rowOff>
              </from>
              <to>
                <xdr:col>3</xdr:col>
                <xdr:colOff>3609975</xdr:colOff>
                <xdr:row>16</xdr:row>
                <xdr:rowOff>266700</xdr:rowOff>
              </to>
            </anchor>
          </controlPr>
        </control>
      </mc:Choice>
      <mc:Fallback>
        <control shapeId="6147" r:id="rId8" name="CheckBox2"/>
      </mc:Fallback>
    </mc:AlternateContent>
    <mc:AlternateContent xmlns:mc="http://schemas.openxmlformats.org/markup-compatibility/2006">
      <mc:Choice Requires="x14">
        <control shapeId="6148" r:id="rId10" name="CheckBox3">
          <controlPr defaultSize="0" autoFill="0" autoLine="0" r:id="rId11">
            <anchor moveWithCells="1">
              <from>
                <xdr:col>3</xdr:col>
                <xdr:colOff>3838575</xdr:colOff>
                <xdr:row>16</xdr:row>
                <xdr:rowOff>66675</xdr:rowOff>
              </from>
              <to>
                <xdr:col>3</xdr:col>
                <xdr:colOff>4857750</xdr:colOff>
                <xdr:row>16</xdr:row>
                <xdr:rowOff>266700</xdr:rowOff>
              </to>
            </anchor>
          </controlPr>
        </control>
      </mc:Choice>
      <mc:Fallback>
        <control shapeId="6148"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I59"/>
  <sheetViews>
    <sheetView workbookViewId="0">
      <pane xSplit="1" ySplit="2" topLeftCell="W3" activePane="bottomRight" state="frozen"/>
      <selection pane="topRight" activeCell="B1" sqref="B1"/>
      <selection pane="bottomLeft" activeCell="A3" sqref="A3"/>
      <selection pane="bottomRight" activeCell="Y25" sqref="Y25"/>
    </sheetView>
  </sheetViews>
  <sheetFormatPr defaultColWidth="36.85546875" defaultRowHeight="12.75" customHeight="1" x14ac:dyDescent="0.25"/>
  <cols>
    <col min="1" max="1" width="18.5703125" style="118" customWidth="1"/>
    <col min="2" max="9" width="31.42578125" style="117" customWidth="1"/>
    <col min="10" max="19" width="36.85546875" style="117" customWidth="1"/>
    <col min="20" max="20" width="36.85546875" style="416" customWidth="1"/>
    <col min="21" max="25" width="36.85546875" style="117" customWidth="1"/>
    <col min="26" max="26" width="37" style="117" customWidth="1"/>
    <col min="27" max="33" width="36.85546875" style="117" customWidth="1"/>
    <col min="34" max="42" width="36.85546875" style="118" customWidth="1"/>
    <col min="43" max="43" width="37.140625" style="118" customWidth="1"/>
    <col min="44" max="45" width="36.85546875" style="118" customWidth="1"/>
    <col min="46" max="46" width="36.5703125" style="118" customWidth="1"/>
    <col min="47" max="48" width="36.85546875" style="118" customWidth="1"/>
    <col min="49" max="49" width="36.5703125" style="118" customWidth="1"/>
    <col min="50" max="50" width="37" style="118" customWidth="1"/>
    <col min="51" max="69" width="36.85546875" style="118" customWidth="1"/>
    <col min="70" max="70" width="37" style="118" customWidth="1"/>
    <col min="71" max="88" width="36.85546875" style="118" customWidth="1"/>
    <col min="89" max="89" width="36.5703125" style="118" customWidth="1"/>
    <col min="90" max="102" width="36.85546875" style="118" customWidth="1"/>
    <col min="103" max="103" width="36.5703125" style="118" customWidth="1"/>
    <col min="104" max="106" width="36.85546875" style="118" customWidth="1"/>
    <col min="107" max="107" width="36.5703125" style="118" customWidth="1"/>
    <col min="108" max="115" width="36.85546875" style="118" customWidth="1"/>
    <col min="116" max="116" width="36.5703125" style="118" customWidth="1"/>
    <col min="117" max="254" width="36.85546875" style="118"/>
    <col min="255" max="255" width="18.5703125" style="118" customWidth="1"/>
    <col min="256" max="264" width="31.42578125" style="118" customWidth="1"/>
    <col min="265" max="281" width="36.85546875" style="118" customWidth="1"/>
    <col min="282" max="282" width="37" style="118" customWidth="1"/>
    <col min="283" max="298" width="36.85546875" style="118" customWidth="1"/>
    <col min="299" max="299" width="37.140625" style="118" customWidth="1"/>
    <col min="300" max="301" width="36.85546875" style="118" customWidth="1"/>
    <col min="302" max="302" width="36.5703125" style="118" customWidth="1"/>
    <col min="303" max="304" width="36.85546875" style="118" customWidth="1"/>
    <col min="305" max="305" width="36.5703125" style="118" customWidth="1"/>
    <col min="306" max="306" width="37" style="118" customWidth="1"/>
    <col min="307" max="325" width="36.85546875" style="118" customWidth="1"/>
    <col min="326" max="326" width="37" style="118" customWidth="1"/>
    <col min="327" max="344" width="36.85546875" style="118" customWidth="1"/>
    <col min="345" max="345" width="36.5703125" style="118" customWidth="1"/>
    <col min="346" max="358" width="36.85546875" style="118" customWidth="1"/>
    <col min="359" max="359" width="36.5703125" style="118" customWidth="1"/>
    <col min="360" max="362" width="36.85546875" style="118" customWidth="1"/>
    <col min="363" max="363" width="36.5703125" style="118" customWidth="1"/>
    <col min="364" max="371" width="36.85546875" style="118" customWidth="1"/>
    <col min="372" max="372" width="36.5703125" style="118" customWidth="1"/>
    <col min="373" max="510" width="36.85546875" style="118"/>
    <col min="511" max="511" width="18.5703125" style="118" customWidth="1"/>
    <col min="512" max="520" width="31.42578125" style="118" customWidth="1"/>
    <col min="521" max="537" width="36.85546875" style="118" customWidth="1"/>
    <col min="538" max="538" width="37" style="118" customWidth="1"/>
    <col min="539" max="554" width="36.85546875" style="118" customWidth="1"/>
    <col min="555" max="555" width="37.140625" style="118" customWidth="1"/>
    <col min="556" max="557" width="36.85546875" style="118" customWidth="1"/>
    <col min="558" max="558" width="36.5703125" style="118" customWidth="1"/>
    <col min="559" max="560" width="36.85546875" style="118" customWidth="1"/>
    <col min="561" max="561" width="36.5703125" style="118" customWidth="1"/>
    <col min="562" max="562" width="37" style="118" customWidth="1"/>
    <col min="563" max="581" width="36.85546875" style="118" customWidth="1"/>
    <col min="582" max="582" width="37" style="118" customWidth="1"/>
    <col min="583" max="600" width="36.85546875" style="118" customWidth="1"/>
    <col min="601" max="601" width="36.5703125" style="118" customWidth="1"/>
    <col min="602" max="614" width="36.85546875" style="118" customWidth="1"/>
    <col min="615" max="615" width="36.5703125" style="118" customWidth="1"/>
    <col min="616" max="618" width="36.85546875" style="118" customWidth="1"/>
    <col min="619" max="619" width="36.5703125" style="118" customWidth="1"/>
    <col min="620" max="627" width="36.85546875" style="118" customWidth="1"/>
    <col min="628" max="628" width="36.5703125" style="118" customWidth="1"/>
    <col min="629" max="766" width="36.85546875" style="118"/>
    <col min="767" max="767" width="18.5703125" style="118" customWidth="1"/>
    <col min="768" max="776" width="31.42578125" style="118" customWidth="1"/>
    <col min="777" max="793" width="36.85546875" style="118" customWidth="1"/>
    <col min="794" max="794" width="37" style="118" customWidth="1"/>
    <col min="795" max="810" width="36.85546875" style="118" customWidth="1"/>
    <col min="811" max="811" width="37.140625" style="118" customWidth="1"/>
    <col min="812" max="813" width="36.85546875" style="118" customWidth="1"/>
    <col min="814" max="814" width="36.5703125" style="118" customWidth="1"/>
    <col min="815" max="816" width="36.85546875" style="118" customWidth="1"/>
    <col min="817" max="817" width="36.5703125" style="118" customWidth="1"/>
    <col min="818" max="818" width="37" style="118" customWidth="1"/>
    <col min="819" max="837" width="36.85546875" style="118" customWidth="1"/>
    <col min="838" max="838" width="37" style="118" customWidth="1"/>
    <col min="839" max="856" width="36.85546875" style="118" customWidth="1"/>
    <col min="857" max="857" width="36.5703125" style="118" customWidth="1"/>
    <col min="858" max="870" width="36.85546875" style="118" customWidth="1"/>
    <col min="871" max="871" width="36.5703125" style="118" customWidth="1"/>
    <col min="872" max="874" width="36.85546875" style="118" customWidth="1"/>
    <col min="875" max="875" width="36.5703125" style="118" customWidth="1"/>
    <col min="876" max="883" width="36.85546875" style="118" customWidth="1"/>
    <col min="884" max="884" width="36.5703125" style="118" customWidth="1"/>
    <col min="885" max="1022" width="36.85546875" style="118"/>
    <col min="1023" max="1023" width="18.5703125" style="118" customWidth="1"/>
    <col min="1024" max="1032" width="31.42578125" style="118" customWidth="1"/>
    <col min="1033" max="1049" width="36.85546875" style="118" customWidth="1"/>
    <col min="1050" max="1050" width="37" style="118" customWidth="1"/>
    <col min="1051" max="1066" width="36.85546875" style="118" customWidth="1"/>
    <col min="1067" max="1067" width="37.140625" style="118" customWidth="1"/>
    <col min="1068" max="1069" width="36.85546875" style="118" customWidth="1"/>
    <col min="1070" max="1070" width="36.5703125" style="118" customWidth="1"/>
    <col min="1071" max="1072" width="36.85546875" style="118" customWidth="1"/>
    <col min="1073" max="1073" width="36.5703125" style="118" customWidth="1"/>
    <col min="1074" max="1074" width="37" style="118" customWidth="1"/>
    <col min="1075" max="1093" width="36.85546875" style="118" customWidth="1"/>
    <col min="1094" max="1094" width="37" style="118" customWidth="1"/>
    <col min="1095" max="1112" width="36.85546875" style="118" customWidth="1"/>
    <col min="1113" max="1113" width="36.5703125" style="118" customWidth="1"/>
    <col min="1114" max="1126" width="36.85546875" style="118" customWidth="1"/>
    <col min="1127" max="1127" width="36.5703125" style="118" customWidth="1"/>
    <col min="1128" max="1130" width="36.85546875" style="118" customWidth="1"/>
    <col min="1131" max="1131" width="36.5703125" style="118" customWidth="1"/>
    <col min="1132" max="1139" width="36.85546875" style="118" customWidth="1"/>
    <col min="1140" max="1140" width="36.5703125" style="118" customWidth="1"/>
    <col min="1141" max="1278" width="36.85546875" style="118"/>
    <col min="1279" max="1279" width="18.5703125" style="118" customWidth="1"/>
    <col min="1280" max="1288" width="31.42578125" style="118" customWidth="1"/>
    <col min="1289" max="1305" width="36.85546875" style="118" customWidth="1"/>
    <col min="1306" max="1306" width="37" style="118" customWidth="1"/>
    <col min="1307" max="1322" width="36.85546875" style="118" customWidth="1"/>
    <col min="1323" max="1323" width="37.140625" style="118" customWidth="1"/>
    <col min="1324" max="1325" width="36.85546875" style="118" customWidth="1"/>
    <col min="1326" max="1326" width="36.5703125" style="118" customWidth="1"/>
    <col min="1327" max="1328" width="36.85546875" style="118" customWidth="1"/>
    <col min="1329" max="1329" width="36.5703125" style="118" customWidth="1"/>
    <col min="1330" max="1330" width="37" style="118" customWidth="1"/>
    <col min="1331" max="1349" width="36.85546875" style="118" customWidth="1"/>
    <col min="1350" max="1350" width="37" style="118" customWidth="1"/>
    <col min="1351" max="1368" width="36.85546875" style="118" customWidth="1"/>
    <col min="1369" max="1369" width="36.5703125" style="118" customWidth="1"/>
    <col min="1370" max="1382" width="36.85546875" style="118" customWidth="1"/>
    <col min="1383" max="1383" width="36.5703125" style="118" customWidth="1"/>
    <col min="1384" max="1386" width="36.85546875" style="118" customWidth="1"/>
    <col min="1387" max="1387" width="36.5703125" style="118" customWidth="1"/>
    <col min="1388" max="1395" width="36.85546875" style="118" customWidth="1"/>
    <col min="1396" max="1396" width="36.5703125" style="118" customWidth="1"/>
    <col min="1397" max="1534" width="36.85546875" style="118"/>
    <col min="1535" max="1535" width="18.5703125" style="118" customWidth="1"/>
    <col min="1536" max="1544" width="31.42578125" style="118" customWidth="1"/>
    <col min="1545" max="1561" width="36.85546875" style="118" customWidth="1"/>
    <col min="1562" max="1562" width="37" style="118" customWidth="1"/>
    <col min="1563" max="1578" width="36.85546875" style="118" customWidth="1"/>
    <col min="1579" max="1579" width="37.140625" style="118" customWidth="1"/>
    <col min="1580" max="1581" width="36.85546875" style="118" customWidth="1"/>
    <col min="1582" max="1582" width="36.5703125" style="118" customWidth="1"/>
    <col min="1583" max="1584" width="36.85546875" style="118" customWidth="1"/>
    <col min="1585" max="1585" width="36.5703125" style="118" customWidth="1"/>
    <col min="1586" max="1586" width="37" style="118" customWidth="1"/>
    <col min="1587" max="1605" width="36.85546875" style="118" customWidth="1"/>
    <col min="1606" max="1606" width="37" style="118" customWidth="1"/>
    <col min="1607" max="1624" width="36.85546875" style="118" customWidth="1"/>
    <col min="1625" max="1625" width="36.5703125" style="118" customWidth="1"/>
    <col min="1626" max="1638" width="36.85546875" style="118" customWidth="1"/>
    <col min="1639" max="1639" width="36.5703125" style="118" customWidth="1"/>
    <col min="1640" max="1642" width="36.85546875" style="118" customWidth="1"/>
    <col min="1643" max="1643" width="36.5703125" style="118" customWidth="1"/>
    <col min="1644" max="1651" width="36.85546875" style="118" customWidth="1"/>
    <col min="1652" max="1652" width="36.5703125" style="118" customWidth="1"/>
    <col min="1653" max="1790" width="36.85546875" style="118"/>
    <col min="1791" max="1791" width="18.5703125" style="118" customWidth="1"/>
    <col min="1792" max="1800" width="31.42578125" style="118" customWidth="1"/>
    <col min="1801" max="1817" width="36.85546875" style="118" customWidth="1"/>
    <col min="1818" max="1818" width="37" style="118" customWidth="1"/>
    <col min="1819" max="1834" width="36.85546875" style="118" customWidth="1"/>
    <col min="1835" max="1835" width="37.140625" style="118" customWidth="1"/>
    <col min="1836" max="1837" width="36.85546875" style="118" customWidth="1"/>
    <col min="1838" max="1838" width="36.5703125" style="118" customWidth="1"/>
    <col min="1839" max="1840" width="36.85546875" style="118" customWidth="1"/>
    <col min="1841" max="1841" width="36.5703125" style="118" customWidth="1"/>
    <col min="1842" max="1842" width="37" style="118" customWidth="1"/>
    <col min="1843" max="1861" width="36.85546875" style="118" customWidth="1"/>
    <col min="1862" max="1862" width="37" style="118" customWidth="1"/>
    <col min="1863" max="1880" width="36.85546875" style="118" customWidth="1"/>
    <col min="1881" max="1881" width="36.5703125" style="118" customWidth="1"/>
    <col min="1882" max="1894" width="36.85546875" style="118" customWidth="1"/>
    <col min="1895" max="1895" width="36.5703125" style="118" customWidth="1"/>
    <col min="1896" max="1898" width="36.85546875" style="118" customWidth="1"/>
    <col min="1899" max="1899" width="36.5703125" style="118" customWidth="1"/>
    <col min="1900" max="1907" width="36.85546875" style="118" customWidth="1"/>
    <col min="1908" max="1908" width="36.5703125" style="118" customWidth="1"/>
    <col min="1909" max="2046" width="36.85546875" style="118"/>
    <col min="2047" max="2047" width="18.5703125" style="118" customWidth="1"/>
    <col min="2048" max="2056" width="31.42578125" style="118" customWidth="1"/>
    <col min="2057" max="2073" width="36.85546875" style="118" customWidth="1"/>
    <col min="2074" max="2074" width="37" style="118" customWidth="1"/>
    <col min="2075" max="2090" width="36.85546875" style="118" customWidth="1"/>
    <col min="2091" max="2091" width="37.140625" style="118" customWidth="1"/>
    <col min="2092" max="2093" width="36.85546875" style="118" customWidth="1"/>
    <col min="2094" max="2094" width="36.5703125" style="118" customWidth="1"/>
    <col min="2095" max="2096" width="36.85546875" style="118" customWidth="1"/>
    <col min="2097" max="2097" width="36.5703125" style="118" customWidth="1"/>
    <col min="2098" max="2098" width="37" style="118" customWidth="1"/>
    <col min="2099" max="2117" width="36.85546875" style="118" customWidth="1"/>
    <col min="2118" max="2118" width="37" style="118" customWidth="1"/>
    <col min="2119" max="2136" width="36.85546875" style="118" customWidth="1"/>
    <col min="2137" max="2137" width="36.5703125" style="118" customWidth="1"/>
    <col min="2138" max="2150" width="36.85546875" style="118" customWidth="1"/>
    <col min="2151" max="2151" width="36.5703125" style="118" customWidth="1"/>
    <col min="2152" max="2154" width="36.85546875" style="118" customWidth="1"/>
    <col min="2155" max="2155" width="36.5703125" style="118" customWidth="1"/>
    <col min="2156" max="2163" width="36.85546875" style="118" customWidth="1"/>
    <col min="2164" max="2164" width="36.5703125" style="118" customWidth="1"/>
    <col min="2165" max="2302" width="36.85546875" style="118"/>
    <col min="2303" max="2303" width="18.5703125" style="118" customWidth="1"/>
    <col min="2304" max="2312" width="31.42578125" style="118" customWidth="1"/>
    <col min="2313" max="2329" width="36.85546875" style="118" customWidth="1"/>
    <col min="2330" max="2330" width="37" style="118" customWidth="1"/>
    <col min="2331" max="2346" width="36.85546875" style="118" customWidth="1"/>
    <col min="2347" max="2347" width="37.140625" style="118" customWidth="1"/>
    <col min="2348" max="2349" width="36.85546875" style="118" customWidth="1"/>
    <col min="2350" max="2350" width="36.5703125" style="118" customWidth="1"/>
    <col min="2351" max="2352" width="36.85546875" style="118" customWidth="1"/>
    <col min="2353" max="2353" width="36.5703125" style="118" customWidth="1"/>
    <col min="2354" max="2354" width="37" style="118" customWidth="1"/>
    <col min="2355" max="2373" width="36.85546875" style="118" customWidth="1"/>
    <col min="2374" max="2374" width="37" style="118" customWidth="1"/>
    <col min="2375" max="2392" width="36.85546875" style="118" customWidth="1"/>
    <col min="2393" max="2393" width="36.5703125" style="118" customWidth="1"/>
    <col min="2394" max="2406" width="36.85546875" style="118" customWidth="1"/>
    <col min="2407" max="2407" width="36.5703125" style="118" customWidth="1"/>
    <col min="2408" max="2410" width="36.85546875" style="118" customWidth="1"/>
    <col min="2411" max="2411" width="36.5703125" style="118" customWidth="1"/>
    <col min="2412" max="2419" width="36.85546875" style="118" customWidth="1"/>
    <col min="2420" max="2420" width="36.5703125" style="118" customWidth="1"/>
    <col min="2421" max="2558" width="36.85546875" style="118"/>
    <col min="2559" max="2559" width="18.5703125" style="118" customWidth="1"/>
    <col min="2560" max="2568" width="31.42578125" style="118" customWidth="1"/>
    <col min="2569" max="2585" width="36.85546875" style="118" customWidth="1"/>
    <col min="2586" max="2586" width="37" style="118" customWidth="1"/>
    <col min="2587" max="2602" width="36.85546875" style="118" customWidth="1"/>
    <col min="2603" max="2603" width="37.140625" style="118" customWidth="1"/>
    <col min="2604" max="2605" width="36.85546875" style="118" customWidth="1"/>
    <col min="2606" max="2606" width="36.5703125" style="118" customWidth="1"/>
    <col min="2607" max="2608" width="36.85546875" style="118" customWidth="1"/>
    <col min="2609" max="2609" width="36.5703125" style="118" customWidth="1"/>
    <col min="2610" max="2610" width="37" style="118" customWidth="1"/>
    <col min="2611" max="2629" width="36.85546875" style="118" customWidth="1"/>
    <col min="2630" max="2630" width="37" style="118" customWidth="1"/>
    <col min="2631" max="2648" width="36.85546875" style="118" customWidth="1"/>
    <col min="2649" max="2649" width="36.5703125" style="118" customWidth="1"/>
    <col min="2650" max="2662" width="36.85546875" style="118" customWidth="1"/>
    <col min="2663" max="2663" width="36.5703125" style="118" customWidth="1"/>
    <col min="2664" max="2666" width="36.85546875" style="118" customWidth="1"/>
    <col min="2667" max="2667" width="36.5703125" style="118" customWidth="1"/>
    <col min="2668" max="2675" width="36.85546875" style="118" customWidth="1"/>
    <col min="2676" max="2676" width="36.5703125" style="118" customWidth="1"/>
    <col min="2677" max="2814" width="36.85546875" style="118"/>
    <col min="2815" max="2815" width="18.5703125" style="118" customWidth="1"/>
    <col min="2816" max="2824" width="31.42578125" style="118" customWidth="1"/>
    <col min="2825" max="2841" width="36.85546875" style="118" customWidth="1"/>
    <col min="2842" max="2842" width="37" style="118" customWidth="1"/>
    <col min="2843" max="2858" width="36.85546875" style="118" customWidth="1"/>
    <col min="2859" max="2859" width="37.140625" style="118" customWidth="1"/>
    <col min="2860" max="2861" width="36.85546875" style="118" customWidth="1"/>
    <col min="2862" max="2862" width="36.5703125" style="118" customWidth="1"/>
    <col min="2863" max="2864" width="36.85546875" style="118" customWidth="1"/>
    <col min="2865" max="2865" width="36.5703125" style="118" customWidth="1"/>
    <col min="2866" max="2866" width="37" style="118" customWidth="1"/>
    <col min="2867" max="2885" width="36.85546875" style="118" customWidth="1"/>
    <col min="2886" max="2886" width="37" style="118" customWidth="1"/>
    <col min="2887" max="2904" width="36.85546875" style="118" customWidth="1"/>
    <col min="2905" max="2905" width="36.5703125" style="118" customWidth="1"/>
    <col min="2906" max="2918" width="36.85546875" style="118" customWidth="1"/>
    <col min="2919" max="2919" width="36.5703125" style="118" customWidth="1"/>
    <col min="2920" max="2922" width="36.85546875" style="118" customWidth="1"/>
    <col min="2923" max="2923" width="36.5703125" style="118" customWidth="1"/>
    <col min="2924" max="2931" width="36.85546875" style="118" customWidth="1"/>
    <col min="2932" max="2932" width="36.5703125" style="118" customWidth="1"/>
    <col min="2933" max="3070" width="36.85546875" style="118"/>
    <col min="3071" max="3071" width="18.5703125" style="118" customWidth="1"/>
    <col min="3072" max="3080" width="31.42578125" style="118" customWidth="1"/>
    <col min="3081" max="3097" width="36.85546875" style="118" customWidth="1"/>
    <col min="3098" max="3098" width="37" style="118" customWidth="1"/>
    <col min="3099" max="3114" width="36.85546875" style="118" customWidth="1"/>
    <col min="3115" max="3115" width="37.140625" style="118" customWidth="1"/>
    <col min="3116" max="3117" width="36.85546875" style="118" customWidth="1"/>
    <col min="3118" max="3118" width="36.5703125" style="118" customWidth="1"/>
    <col min="3119" max="3120" width="36.85546875" style="118" customWidth="1"/>
    <col min="3121" max="3121" width="36.5703125" style="118" customWidth="1"/>
    <col min="3122" max="3122" width="37" style="118" customWidth="1"/>
    <col min="3123" max="3141" width="36.85546875" style="118" customWidth="1"/>
    <col min="3142" max="3142" width="37" style="118" customWidth="1"/>
    <col min="3143" max="3160" width="36.85546875" style="118" customWidth="1"/>
    <col min="3161" max="3161" width="36.5703125" style="118" customWidth="1"/>
    <col min="3162" max="3174" width="36.85546875" style="118" customWidth="1"/>
    <col min="3175" max="3175" width="36.5703125" style="118" customWidth="1"/>
    <col min="3176" max="3178" width="36.85546875" style="118" customWidth="1"/>
    <col min="3179" max="3179" width="36.5703125" style="118" customWidth="1"/>
    <col min="3180" max="3187" width="36.85546875" style="118" customWidth="1"/>
    <col min="3188" max="3188" width="36.5703125" style="118" customWidth="1"/>
    <col min="3189" max="3326" width="36.85546875" style="118"/>
    <col min="3327" max="3327" width="18.5703125" style="118" customWidth="1"/>
    <col min="3328" max="3336" width="31.42578125" style="118" customWidth="1"/>
    <col min="3337" max="3353" width="36.85546875" style="118" customWidth="1"/>
    <col min="3354" max="3354" width="37" style="118" customWidth="1"/>
    <col min="3355" max="3370" width="36.85546875" style="118" customWidth="1"/>
    <col min="3371" max="3371" width="37.140625" style="118" customWidth="1"/>
    <col min="3372" max="3373" width="36.85546875" style="118" customWidth="1"/>
    <col min="3374" max="3374" width="36.5703125" style="118" customWidth="1"/>
    <col min="3375" max="3376" width="36.85546875" style="118" customWidth="1"/>
    <col min="3377" max="3377" width="36.5703125" style="118" customWidth="1"/>
    <col min="3378" max="3378" width="37" style="118" customWidth="1"/>
    <col min="3379" max="3397" width="36.85546875" style="118" customWidth="1"/>
    <col min="3398" max="3398" width="37" style="118" customWidth="1"/>
    <col min="3399" max="3416" width="36.85546875" style="118" customWidth="1"/>
    <col min="3417" max="3417" width="36.5703125" style="118" customWidth="1"/>
    <col min="3418" max="3430" width="36.85546875" style="118" customWidth="1"/>
    <col min="3431" max="3431" width="36.5703125" style="118" customWidth="1"/>
    <col min="3432" max="3434" width="36.85546875" style="118" customWidth="1"/>
    <col min="3435" max="3435" width="36.5703125" style="118" customWidth="1"/>
    <col min="3436" max="3443" width="36.85546875" style="118" customWidth="1"/>
    <col min="3444" max="3444" width="36.5703125" style="118" customWidth="1"/>
    <col min="3445" max="3582" width="36.85546875" style="118"/>
    <col min="3583" max="3583" width="18.5703125" style="118" customWidth="1"/>
    <col min="3584" max="3592" width="31.42578125" style="118" customWidth="1"/>
    <col min="3593" max="3609" width="36.85546875" style="118" customWidth="1"/>
    <col min="3610" max="3610" width="37" style="118" customWidth="1"/>
    <col min="3611" max="3626" width="36.85546875" style="118" customWidth="1"/>
    <col min="3627" max="3627" width="37.140625" style="118" customWidth="1"/>
    <col min="3628" max="3629" width="36.85546875" style="118" customWidth="1"/>
    <col min="3630" max="3630" width="36.5703125" style="118" customWidth="1"/>
    <col min="3631" max="3632" width="36.85546875" style="118" customWidth="1"/>
    <col min="3633" max="3633" width="36.5703125" style="118" customWidth="1"/>
    <col min="3634" max="3634" width="37" style="118" customWidth="1"/>
    <col min="3635" max="3653" width="36.85546875" style="118" customWidth="1"/>
    <col min="3654" max="3654" width="37" style="118" customWidth="1"/>
    <col min="3655" max="3672" width="36.85546875" style="118" customWidth="1"/>
    <col min="3673" max="3673" width="36.5703125" style="118" customWidth="1"/>
    <col min="3674" max="3686" width="36.85546875" style="118" customWidth="1"/>
    <col min="3687" max="3687" width="36.5703125" style="118" customWidth="1"/>
    <col min="3688" max="3690" width="36.85546875" style="118" customWidth="1"/>
    <col min="3691" max="3691" width="36.5703125" style="118" customWidth="1"/>
    <col min="3692" max="3699" width="36.85546875" style="118" customWidth="1"/>
    <col min="3700" max="3700" width="36.5703125" style="118" customWidth="1"/>
    <col min="3701" max="3838" width="36.85546875" style="118"/>
    <col min="3839" max="3839" width="18.5703125" style="118" customWidth="1"/>
    <col min="3840" max="3848" width="31.42578125" style="118" customWidth="1"/>
    <col min="3849" max="3865" width="36.85546875" style="118" customWidth="1"/>
    <col min="3866" max="3866" width="37" style="118" customWidth="1"/>
    <col min="3867" max="3882" width="36.85546875" style="118" customWidth="1"/>
    <col min="3883" max="3883" width="37.140625" style="118" customWidth="1"/>
    <col min="3884" max="3885" width="36.85546875" style="118" customWidth="1"/>
    <col min="3886" max="3886" width="36.5703125" style="118" customWidth="1"/>
    <col min="3887" max="3888" width="36.85546875" style="118" customWidth="1"/>
    <col min="3889" max="3889" width="36.5703125" style="118" customWidth="1"/>
    <col min="3890" max="3890" width="37" style="118" customWidth="1"/>
    <col min="3891" max="3909" width="36.85546875" style="118" customWidth="1"/>
    <col min="3910" max="3910" width="37" style="118" customWidth="1"/>
    <col min="3911" max="3928" width="36.85546875" style="118" customWidth="1"/>
    <col min="3929" max="3929" width="36.5703125" style="118" customWidth="1"/>
    <col min="3930" max="3942" width="36.85546875" style="118" customWidth="1"/>
    <col min="3943" max="3943" width="36.5703125" style="118" customWidth="1"/>
    <col min="3944" max="3946" width="36.85546875" style="118" customWidth="1"/>
    <col min="3947" max="3947" width="36.5703125" style="118" customWidth="1"/>
    <col min="3948" max="3955" width="36.85546875" style="118" customWidth="1"/>
    <col min="3956" max="3956" width="36.5703125" style="118" customWidth="1"/>
    <col min="3957" max="4094" width="36.85546875" style="118"/>
    <col min="4095" max="4095" width="18.5703125" style="118" customWidth="1"/>
    <col min="4096" max="4104" width="31.42578125" style="118" customWidth="1"/>
    <col min="4105" max="4121" width="36.85546875" style="118" customWidth="1"/>
    <col min="4122" max="4122" width="37" style="118" customWidth="1"/>
    <col min="4123" max="4138" width="36.85546875" style="118" customWidth="1"/>
    <col min="4139" max="4139" width="37.140625" style="118" customWidth="1"/>
    <col min="4140" max="4141" width="36.85546875" style="118" customWidth="1"/>
    <col min="4142" max="4142" width="36.5703125" style="118" customWidth="1"/>
    <col min="4143" max="4144" width="36.85546875" style="118" customWidth="1"/>
    <col min="4145" max="4145" width="36.5703125" style="118" customWidth="1"/>
    <col min="4146" max="4146" width="37" style="118" customWidth="1"/>
    <col min="4147" max="4165" width="36.85546875" style="118" customWidth="1"/>
    <col min="4166" max="4166" width="37" style="118" customWidth="1"/>
    <col min="4167" max="4184" width="36.85546875" style="118" customWidth="1"/>
    <col min="4185" max="4185" width="36.5703125" style="118" customWidth="1"/>
    <col min="4186" max="4198" width="36.85546875" style="118" customWidth="1"/>
    <col min="4199" max="4199" width="36.5703125" style="118" customWidth="1"/>
    <col min="4200" max="4202" width="36.85546875" style="118" customWidth="1"/>
    <col min="4203" max="4203" width="36.5703125" style="118" customWidth="1"/>
    <col min="4204" max="4211" width="36.85546875" style="118" customWidth="1"/>
    <col min="4212" max="4212" width="36.5703125" style="118" customWidth="1"/>
    <col min="4213" max="4350" width="36.85546875" style="118"/>
    <col min="4351" max="4351" width="18.5703125" style="118" customWidth="1"/>
    <col min="4352" max="4360" width="31.42578125" style="118" customWidth="1"/>
    <col min="4361" max="4377" width="36.85546875" style="118" customWidth="1"/>
    <col min="4378" max="4378" width="37" style="118" customWidth="1"/>
    <col min="4379" max="4394" width="36.85546875" style="118" customWidth="1"/>
    <col min="4395" max="4395" width="37.140625" style="118" customWidth="1"/>
    <col min="4396" max="4397" width="36.85546875" style="118" customWidth="1"/>
    <col min="4398" max="4398" width="36.5703125" style="118" customWidth="1"/>
    <col min="4399" max="4400" width="36.85546875" style="118" customWidth="1"/>
    <col min="4401" max="4401" width="36.5703125" style="118" customWidth="1"/>
    <col min="4402" max="4402" width="37" style="118" customWidth="1"/>
    <col min="4403" max="4421" width="36.85546875" style="118" customWidth="1"/>
    <col min="4422" max="4422" width="37" style="118" customWidth="1"/>
    <col min="4423" max="4440" width="36.85546875" style="118" customWidth="1"/>
    <col min="4441" max="4441" width="36.5703125" style="118" customWidth="1"/>
    <col min="4442" max="4454" width="36.85546875" style="118" customWidth="1"/>
    <col min="4455" max="4455" width="36.5703125" style="118" customWidth="1"/>
    <col min="4456" max="4458" width="36.85546875" style="118" customWidth="1"/>
    <col min="4459" max="4459" width="36.5703125" style="118" customWidth="1"/>
    <col min="4460" max="4467" width="36.85546875" style="118" customWidth="1"/>
    <col min="4468" max="4468" width="36.5703125" style="118" customWidth="1"/>
    <col min="4469" max="4606" width="36.85546875" style="118"/>
    <col min="4607" max="4607" width="18.5703125" style="118" customWidth="1"/>
    <col min="4608" max="4616" width="31.42578125" style="118" customWidth="1"/>
    <col min="4617" max="4633" width="36.85546875" style="118" customWidth="1"/>
    <col min="4634" max="4634" width="37" style="118" customWidth="1"/>
    <col min="4635" max="4650" width="36.85546875" style="118" customWidth="1"/>
    <col min="4651" max="4651" width="37.140625" style="118" customWidth="1"/>
    <col min="4652" max="4653" width="36.85546875" style="118" customWidth="1"/>
    <col min="4654" max="4654" width="36.5703125" style="118" customWidth="1"/>
    <col min="4655" max="4656" width="36.85546875" style="118" customWidth="1"/>
    <col min="4657" max="4657" width="36.5703125" style="118" customWidth="1"/>
    <col min="4658" max="4658" width="37" style="118" customWidth="1"/>
    <col min="4659" max="4677" width="36.85546875" style="118" customWidth="1"/>
    <col min="4678" max="4678" width="37" style="118" customWidth="1"/>
    <col min="4679" max="4696" width="36.85546875" style="118" customWidth="1"/>
    <col min="4697" max="4697" width="36.5703125" style="118" customWidth="1"/>
    <col min="4698" max="4710" width="36.85546875" style="118" customWidth="1"/>
    <col min="4711" max="4711" width="36.5703125" style="118" customWidth="1"/>
    <col min="4712" max="4714" width="36.85546875" style="118" customWidth="1"/>
    <col min="4715" max="4715" width="36.5703125" style="118" customWidth="1"/>
    <col min="4716" max="4723" width="36.85546875" style="118" customWidth="1"/>
    <col min="4724" max="4724" width="36.5703125" style="118" customWidth="1"/>
    <col min="4725" max="4862" width="36.85546875" style="118"/>
    <col min="4863" max="4863" width="18.5703125" style="118" customWidth="1"/>
    <col min="4864" max="4872" width="31.42578125" style="118" customWidth="1"/>
    <col min="4873" max="4889" width="36.85546875" style="118" customWidth="1"/>
    <col min="4890" max="4890" width="37" style="118" customWidth="1"/>
    <col min="4891" max="4906" width="36.85546875" style="118" customWidth="1"/>
    <col min="4907" max="4907" width="37.140625" style="118" customWidth="1"/>
    <col min="4908" max="4909" width="36.85546875" style="118" customWidth="1"/>
    <col min="4910" max="4910" width="36.5703125" style="118" customWidth="1"/>
    <col min="4911" max="4912" width="36.85546875" style="118" customWidth="1"/>
    <col min="4913" max="4913" width="36.5703125" style="118" customWidth="1"/>
    <col min="4914" max="4914" width="37" style="118" customWidth="1"/>
    <col min="4915" max="4933" width="36.85546875" style="118" customWidth="1"/>
    <col min="4934" max="4934" width="37" style="118" customWidth="1"/>
    <col min="4935" max="4952" width="36.85546875" style="118" customWidth="1"/>
    <col min="4953" max="4953" width="36.5703125" style="118" customWidth="1"/>
    <col min="4954" max="4966" width="36.85546875" style="118" customWidth="1"/>
    <col min="4967" max="4967" width="36.5703125" style="118" customWidth="1"/>
    <col min="4968" max="4970" width="36.85546875" style="118" customWidth="1"/>
    <col min="4971" max="4971" width="36.5703125" style="118" customWidth="1"/>
    <col min="4972" max="4979" width="36.85546875" style="118" customWidth="1"/>
    <col min="4980" max="4980" width="36.5703125" style="118" customWidth="1"/>
    <col min="4981" max="5118" width="36.85546875" style="118"/>
    <col min="5119" max="5119" width="18.5703125" style="118" customWidth="1"/>
    <col min="5120" max="5128" width="31.42578125" style="118" customWidth="1"/>
    <col min="5129" max="5145" width="36.85546875" style="118" customWidth="1"/>
    <col min="5146" max="5146" width="37" style="118" customWidth="1"/>
    <col min="5147" max="5162" width="36.85546875" style="118" customWidth="1"/>
    <col min="5163" max="5163" width="37.140625" style="118" customWidth="1"/>
    <col min="5164" max="5165" width="36.85546875" style="118" customWidth="1"/>
    <col min="5166" max="5166" width="36.5703125" style="118" customWidth="1"/>
    <col min="5167" max="5168" width="36.85546875" style="118" customWidth="1"/>
    <col min="5169" max="5169" width="36.5703125" style="118" customWidth="1"/>
    <col min="5170" max="5170" width="37" style="118" customWidth="1"/>
    <col min="5171" max="5189" width="36.85546875" style="118" customWidth="1"/>
    <col min="5190" max="5190" width="37" style="118" customWidth="1"/>
    <col min="5191" max="5208" width="36.85546875" style="118" customWidth="1"/>
    <col min="5209" max="5209" width="36.5703125" style="118" customWidth="1"/>
    <col min="5210" max="5222" width="36.85546875" style="118" customWidth="1"/>
    <col min="5223" max="5223" width="36.5703125" style="118" customWidth="1"/>
    <col min="5224" max="5226" width="36.85546875" style="118" customWidth="1"/>
    <col min="5227" max="5227" width="36.5703125" style="118" customWidth="1"/>
    <col min="5228" max="5235" width="36.85546875" style="118" customWidth="1"/>
    <col min="5236" max="5236" width="36.5703125" style="118" customWidth="1"/>
    <col min="5237" max="5374" width="36.85546875" style="118"/>
    <col min="5375" max="5375" width="18.5703125" style="118" customWidth="1"/>
    <col min="5376" max="5384" width="31.42578125" style="118" customWidth="1"/>
    <col min="5385" max="5401" width="36.85546875" style="118" customWidth="1"/>
    <col min="5402" max="5402" width="37" style="118" customWidth="1"/>
    <col min="5403" max="5418" width="36.85546875" style="118" customWidth="1"/>
    <col min="5419" max="5419" width="37.140625" style="118" customWidth="1"/>
    <col min="5420" max="5421" width="36.85546875" style="118" customWidth="1"/>
    <col min="5422" max="5422" width="36.5703125" style="118" customWidth="1"/>
    <col min="5423" max="5424" width="36.85546875" style="118" customWidth="1"/>
    <col min="5425" max="5425" width="36.5703125" style="118" customWidth="1"/>
    <col min="5426" max="5426" width="37" style="118" customWidth="1"/>
    <col min="5427" max="5445" width="36.85546875" style="118" customWidth="1"/>
    <col min="5446" max="5446" width="37" style="118" customWidth="1"/>
    <col min="5447" max="5464" width="36.85546875" style="118" customWidth="1"/>
    <col min="5465" max="5465" width="36.5703125" style="118" customWidth="1"/>
    <col min="5466" max="5478" width="36.85546875" style="118" customWidth="1"/>
    <col min="5479" max="5479" width="36.5703125" style="118" customWidth="1"/>
    <col min="5480" max="5482" width="36.85546875" style="118" customWidth="1"/>
    <col min="5483" max="5483" width="36.5703125" style="118" customWidth="1"/>
    <col min="5484" max="5491" width="36.85546875" style="118" customWidth="1"/>
    <col min="5492" max="5492" width="36.5703125" style="118" customWidth="1"/>
    <col min="5493" max="5630" width="36.85546875" style="118"/>
    <col min="5631" max="5631" width="18.5703125" style="118" customWidth="1"/>
    <col min="5632" max="5640" width="31.42578125" style="118" customWidth="1"/>
    <col min="5641" max="5657" width="36.85546875" style="118" customWidth="1"/>
    <col min="5658" max="5658" width="37" style="118" customWidth="1"/>
    <col min="5659" max="5674" width="36.85546875" style="118" customWidth="1"/>
    <col min="5675" max="5675" width="37.140625" style="118" customWidth="1"/>
    <col min="5676" max="5677" width="36.85546875" style="118" customWidth="1"/>
    <col min="5678" max="5678" width="36.5703125" style="118" customWidth="1"/>
    <col min="5679" max="5680" width="36.85546875" style="118" customWidth="1"/>
    <col min="5681" max="5681" width="36.5703125" style="118" customWidth="1"/>
    <col min="5682" max="5682" width="37" style="118" customWidth="1"/>
    <col min="5683" max="5701" width="36.85546875" style="118" customWidth="1"/>
    <col min="5702" max="5702" width="37" style="118" customWidth="1"/>
    <col min="5703" max="5720" width="36.85546875" style="118" customWidth="1"/>
    <col min="5721" max="5721" width="36.5703125" style="118" customWidth="1"/>
    <col min="5722" max="5734" width="36.85546875" style="118" customWidth="1"/>
    <col min="5735" max="5735" width="36.5703125" style="118" customWidth="1"/>
    <col min="5736" max="5738" width="36.85546875" style="118" customWidth="1"/>
    <col min="5739" max="5739" width="36.5703125" style="118" customWidth="1"/>
    <col min="5740" max="5747" width="36.85546875" style="118" customWidth="1"/>
    <col min="5748" max="5748" width="36.5703125" style="118" customWidth="1"/>
    <col min="5749" max="5886" width="36.85546875" style="118"/>
    <col min="5887" max="5887" width="18.5703125" style="118" customWidth="1"/>
    <col min="5888" max="5896" width="31.42578125" style="118" customWidth="1"/>
    <col min="5897" max="5913" width="36.85546875" style="118" customWidth="1"/>
    <col min="5914" max="5914" width="37" style="118" customWidth="1"/>
    <col min="5915" max="5930" width="36.85546875" style="118" customWidth="1"/>
    <col min="5931" max="5931" width="37.140625" style="118" customWidth="1"/>
    <col min="5932" max="5933" width="36.85546875" style="118" customWidth="1"/>
    <col min="5934" max="5934" width="36.5703125" style="118" customWidth="1"/>
    <col min="5935" max="5936" width="36.85546875" style="118" customWidth="1"/>
    <col min="5937" max="5937" width="36.5703125" style="118" customWidth="1"/>
    <col min="5938" max="5938" width="37" style="118" customWidth="1"/>
    <col min="5939" max="5957" width="36.85546875" style="118" customWidth="1"/>
    <col min="5958" max="5958" width="37" style="118" customWidth="1"/>
    <col min="5959" max="5976" width="36.85546875" style="118" customWidth="1"/>
    <col min="5977" max="5977" width="36.5703125" style="118" customWidth="1"/>
    <col min="5978" max="5990" width="36.85546875" style="118" customWidth="1"/>
    <col min="5991" max="5991" width="36.5703125" style="118" customWidth="1"/>
    <col min="5992" max="5994" width="36.85546875" style="118" customWidth="1"/>
    <col min="5995" max="5995" width="36.5703125" style="118" customWidth="1"/>
    <col min="5996" max="6003" width="36.85546875" style="118" customWidth="1"/>
    <col min="6004" max="6004" width="36.5703125" style="118" customWidth="1"/>
    <col min="6005" max="6142" width="36.85546875" style="118"/>
    <col min="6143" max="6143" width="18.5703125" style="118" customWidth="1"/>
    <col min="6144" max="6152" width="31.42578125" style="118" customWidth="1"/>
    <col min="6153" max="6169" width="36.85546875" style="118" customWidth="1"/>
    <col min="6170" max="6170" width="37" style="118" customWidth="1"/>
    <col min="6171" max="6186" width="36.85546875" style="118" customWidth="1"/>
    <col min="6187" max="6187" width="37.140625" style="118" customWidth="1"/>
    <col min="6188" max="6189" width="36.85546875" style="118" customWidth="1"/>
    <col min="6190" max="6190" width="36.5703125" style="118" customWidth="1"/>
    <col min="6191" max="6192" width="36.85546875" style="118" customWidth="1"/>
    <col min="6193" max="6193" width="36.5703125" style="118" customWidth="1"/>
    <col min="6194" max="6194" width="37" style="118" customWidth="1"/>
    <col min="6195" max="6213" width="36.85546875" style="118" customWidth="1"/>
    <col min="6214" max="6214" width="37" style="118" customWidth="1"/>
    <col min="6215" max="6232" width="36.85546875" style="118" customWidth="1"/>
    <col min="6233" max="6233" width="36.5703125" style="118" customWidth="1"/>
    <col min="6234" max="6246" width="36.85546875" style="118" customWidth="1"/>
    <col min="6247" max="6247" width="36.5703125" style="118" customWidth="1"/>
    <col min="6248" max="6250" width="36.85546875" style="118" customWidth="1"/>
    <col min="6251" max="6251" width="36.5703125" style="118" customWidth="1"/>
    <col min="6252" max="6259" width="36.85546875" style="118" customWidth="1"/>
    <col min="6260" max="6260" width="36.5703125" style="118" customWidth="1"/>
    <col min="6261" max="6398" width="36.85546875" style="118"/>
    <col min="6399" max="6399" width="18.5703125" style="118" customWidth="1"/>
    <col min="6400" max="6408" width="31.42578125" style="118" customWidth="1"/>
    <col min="6409" max="6425" width="36.85546875" style="118" customWidth="1"/>
    <col min="6426" max="6426" width="37" style="118" customWidth="1"/>
    <col min="6427" max="6442" width="36.85546875" style="118" customWidth="1"/>
    <col min="6443" max="6443" width="37.140625" style="118" customWidth="1"/>
    <col min="6444" max="6445" width="36.85546875" style="118" customWidth="1"/>
    <col min="6446" max="6446" width="36.5703125" style="118" customWidth="1"/>
    <col min="6447" max="6448" width="36.85546875" style="118" customWidth="1"/>
    <col min="6449" max="6449" width="36.5703125" style="118" customWidth="1"/>
    <col min="6450" max="6450" width="37" style="118" customWidth="1"/>
    <col min="6451" max="6469" width="36.85546875" style="118" customWidth="1"/>
    <col min="6470" max="6470" width="37" style="118" customWidth="1"/>
    <col min="6471" max="6488" width="36.85546875" style="118" customWidth="1"/>
    <col min="6489" max="6489" width="36.5703125" style="118" customWidth="1"/>
    <col min="6490" max="6502" width="36.85546875" style="118" customWidth="1"/>
    <col min="6503" max="6503" width="36.5703125" style="118" customWidth="1"/>
    <col min="6504" max="6506" width="36.85546875" style="118" customWidth="1"/>
    <col min="6507" max="6507" width="36.5703125" style="118" customWidth="1"/>
    <col min="6508" max="6515" width="36.85546875" style="118" customWidth="1"/>
    <col min="6516" max="6516" width="36.5703125" style="118" customWidth="1"/>
    <col min="6517" max="6654" width="36.85546875" style="118"/>
    <col min="6655" max="6655" width="18.5703125" style="118" customWidth="1"/>
    <col min="6656" max="6664" width="31.42578125" style="118" customWidth="1"/>
    <col min="6665" max="6681" width="36.85546875" style="118" customWidth="1"/>
    <col min="6682" max="6682" width="37" style="118" customWidth="1"/>
    <col min="6683" max="6698" width="36.85546875" style="118" customWidth="1"/>
    <col min="6699" max="6699" width="37.140625" style="118" customWidth="1"/>
    <col min="6700" max="6701" width="36.85546875" style="118" customWidth="1"/>
    <col min="6702" max="6702" width="36.5703125" style="118" customWidth="1"/>
    <col min="6703" max="6704" width="36.85546875" style="118" customWidth="1"/>
    <col min="6705" max="6705" width="36.5703125" style="118" customWidth="1"/>
    <col min="6706" max="6706" width="37" style="118" customWidth="1"/>
    <col min="6707" max="6725" width="36.85546875" style="118" customWidth="1"/>
    <col min="6726" max="6726" width="37" style="118" customWidth="1"/>
    <col min="6727" max="6744" width="36.85546875" style="118" customWidth="1"/>
    <col min="6745" max="6745" width="36.5703125" style="118" customWidth="1"/>
    <col min="6746" max="6758" width="36.85546875" style="118" customWidth="1"/>
    <col min="6759" max="6759" width="36.5703125" style="118" customWidth="1"/>
    <col min="6760" max="6762" width="36.85546875" style="118" customWidth="1"/>
    <col min="6763" max="6763" width="36.5703125" style="118" customWidth="1"/>
    <col min="6764" max="6771" width="36.85546875" style="118" customWidth="1"/>
    <col min="6772" max="6772" width="36.5703125" style="118" customWidth="1"/>
    <col min="6773" max="6910" width="36.85546875" style="118"/>
    <col min="6911" max="6911" width="18.5703125" style="118" customWidth="1"/>
    <col min="6912" max="6920" width="31.42578125" style="118" customWidth="1"/>
    <col min="6921" max="6937" width="36.85546875" style="118" customWidth="1"/>
    <col min="6938" max="6938" width="37" style="118" customWidth="1"/>
    <col min="6939" max="6954" width="36.85546875" style="118" customWidth="1"/>
    <col min="6955" max="6955" width="37.140625" style="118" customWidth="1"/>
    <col min="6956" max="6957" width="36.85546875" style="118" customWidth="1"/>
    <col min="6958" max="6958" width="36.5703125" style="118" customWidth="1"/>
    <col min="6959" max="6960" width="36.85546875" style="118" customWidth="1"/>
    <col min="6961" max="6961" width="36.5703125" style="118" customWidth="1"/>
    <col min="6962" max="6962" width="37" style="118" customWidth="1"/>
    <col min="6963" max="6981" width="36.85546875" style="118" customWidth="1"/>
    <col min="6982" max="6982" width="37" style="118" customWidth="1"/>
    <col min="6983" max="7000" width="36.85546875" style="118" customWidth="1"/>
    <col min="7001" max="7001" width="36.5703125" style="118" customWidth="1"/>
    <col min="7002" max="7014" width="36.85546875" style="118" customWidth="1"/>
    <col min="7015" max="7015" width="36.5703125" style="118" customWidth="1"/>
    <col min="7016" max="7018" width="36.85546875" style="118" customWidth="1"/>
    <col min="7019" max="7019" width="36.5703125" style="118" customWidth="1"/>
    <col min="7020" max="7027" width="36.85546875" style="118" customWidth="1"/>
    <col min="7028" max="7028" width="36.5703125" style="118" customWidth="1"/>
    <col min="7029" max="7166" width="36.85546875" style="118"/>
    <col min="7167" max="7167" width="18.5703125" style="118" customWidth="1"/>
    <col min="7168" max="7176" width="31.42578125" style="118" customWidth="1"/>
    <col min="7177" max="7193" width="36.85546875" style="118" customWidth="1"/>
    <col min="7194" max="7194" width="37" style="118" customWidth="1"/>
    <col min="7195" max="7210" width="36.85546875" style="118" customWidth="1"/>
    <col min="7211" max="7211" width="37.140625" style="118" customWidth="1"/>
    <col min="7212" max="7213" width="36.85546875" style="118" customWidth="1"/>
    <col min="7214" max="7214" width="36.5703125" style="118" customWidth="1"/>
    <col min="7215" max="7216" width="36.85546875" style="118" customWidth="1"/>
    <col min="7217" max="7217" width="36.5703125" style="118" customWidth="1"/>
    <col min="7218" max="7218" width="37" style="118" customWidth="1"/>
    <col min="7219" max="7237" width="36.85546875" style="118" customWidth="1"/>
    <col min="7238" max="7238" width="37" style="118" customWidth="1"/>
    <col min="7239" max="7256" width="36.85546875" style="118" customWidth="1"/>
    <col min="7257" max="7257" width="36.5703125" style="118" customWidth="1"/>
    <col min="7258" max="7270" width="36.85546875" style="118" customWidth="1"/>
    <col min="7271" max="7271" width="36.5703125" style="118" customWidth="1"/>
    <col min="7272" max="7274" width="36.85546875" style="118" customWidth="1"/>
    <col min="7275" max="7275" width="36.5703125" style="118" customWidth="1"/>
    <col min="7276" max="7283" width="36.85546875" style="118" customWidth="1"/>
    <col min="7284" max="7284" width="36.5703125" style="118" customWidth="1"/>
    <col min="7285" max="7422" width="36.85546875" style="118"/>
    <col min="7423" max="7423" width="18.5703125" style="118" customWidth="1"/>
    <col min="7424" max="7432" width="31.42578125" style="118" customWidth="1"/>
    <col min="7433" max="7449" width="36.85546875" style="118" customWidth="1"/>
    <col min="7450" max="7450" width="37" style="118" customWidth="1"/>
    <col min="7451" max="7466" width="36.85546875" style="118" customWidth="1"/>
    <col min="7467" max="7467" width="37.140625" style="118" customWidth="1"/>
    <col min="7468" max="7469" width="36.85546875" style="118" customWidth="1"/>
    <col min="7470" max="7470" width="36.5703125" style="118" customWidth="1"/>
    <col min="7471" max="7472" width="36.85546875" style="118" customWidth="1"/>
    <col min="7473" max="7473" width="36.5703125" style="118" customWidth="1"/>
    <col min="7474" max="7474" width="37" style="118" customWidth="1"/>
    <col min="7475" max="7493" width="36.85546875" style="118" customWidth="1"/>
    <col min="7494" max="7494" width="37" style="118" customWidth="1"/>
    <col min="7495" max="7512" width="36.85546875" style="118" customWidth="1"/>
    <col min="7513" max="7513" width="36.5703125" style="118" customWidth="1"/>
    <col min="7514" max="7526" width="36.85546875" style="118" customWidth="1"/>
    <col min="7527" max="7527" width="36.5703125" style="118" customWidth="1"/>
    <col min="7528" max="7530" width="36.85546875" style="118" customWidth="1"/>
    <col min="7531" max="7531" width="36.5703125" style="118" customWidth="1"/>
    <col min="7532" max="7539" width="36.85546875" style="118" customWidth="1"/>
    <col min="7540" max="7540" width="36.5703125" style="118" customWidth="1"/>
    <col min="7541" max="7678" width="36.85546875" style="118"/>
    <col min="7679" max="7679" width="18.5703125" style="118" customWidth="1"/>
    <col min="7680" max="7688" width="31.42578125" style="118" customWidth="1"/>
    <col min="7689" max="7705" width="36.85546875" style="118" customWidth="1"/>
    <col min="7706" max="7706" width="37" style="118" customWidth="1"/>
    <col min="7707" max="7722" width="36.85546875" style="118" customWidth="1"/>
    <col min="7723" max="7723" width="37.140625" style="118" customWidth="1"/>
    <col min="7724" max="7725" width="36.85546875" style="118" customWidth="1"/>
    <col min="7726" max="7726" width="36.5703125" style="118" customWidth="1"/>
    <col min="7727" max="7728" width="36.85546875" style="118" customWidth="1"/>
    <col min="7729" max="7729" width="36.5703125" style="118" customWidth="1"/>
    <col min="7730" max="7730" width="37" style="118" customWidth="1"/>
    <col min="7731" max="7749" width="36.85546875" style="118" customWidth="1"/>
    <col min="7750" max="7750" width="37" style="118" customWidth="1"/>
    <col min="7751" max="7768" width="36.85546875" style="118" customWidth="1"/>
    <col min="7769" max="7769" width="36.5703125" style="118" customWidth="1"/>
    <col min="7770" max="7782" width="36.85546875" style="118" customWidth="1"/>
    <col min="7783" max="7783" width="36.5703125" style="118" customWidth="1"/>
    <col min="7784" max="7786" width="36.85546875" style="118" customWidth="1"/>
    <col min="7787" max="7787" width="36.5703125" style="118" customWidth="1"/>
    <col min="7788" max="7795" width="36.85546875" style="118" customWidth="1"/>
    <col min="7796" max="7796" width="36.5703125" style="118" customWidth="1"/>
    <col min="7797" max="7934" width="36.85546875" style="118"/>
    <col min="7935" max="7935" width="18.5703125" style="118" customWidth="1"/>
    <col min="7936" max="7944" width="31.42578125" style="118" customWidth="1"/>
    <col min="7945" max="7961" width="36.85546875" style="118" customWidth="1"/>
    <col min="7962" max="7962" width="37" style="118" customWidth="1"/>
    <col min="7963" max="7978" width="36.85546875" style="118" customWidth="1"/>
    <col min="7979" max="7979" width="37.140625" style="118" customWidth="1"/>
    <col min="7980" max="7981" width="36.85546875" style="118" customWidth="1"/>
    <col min="7982" max="7982" width="36.5703125" style="118" customWidth="1"/>
    <col min="7983" max="7984" width="36.85546875" style="118" customWidth="1"/>
    <col min="7985" max="7985" width="36.5703125" style="118" customWidth="1"/>
    <col min="7986" max="7986" width="37" style="118" customWidth="1"/>
    <col min="7987" max="8005" width="36.85546875" style="118" customWidth="1"/>
    <col min="8006" max="8006" width="37" style="118" customWidth="1"/>
    <col min="8007" max="8024" width="36.85546875" style="118" customWidth="1"/>
    <col min="8025" max="8025" width="36.5703125" style="118" customWidth="1"/>
    <col min="8026" max="8038" width="36.85546875" style="118" customWidth="1"/>
    <col min="8039" max="8039" width="36.5703125" style="118" customWidth="1"/>
    <col min="8040" max="8042" width="36.85546875" style="118" customWidth="1"/>
    <col min="8043" max="8043" width="36.5703125" style="118" customWidth="1"/>
    <col min="8044" max="8051" width="36.85546875" style="118" customWidth="1"/>
    <col min="8052" max="8052" width="36.5703125" style="118" customWidth="1"/>
    <col min="8053" max="8190" width="36.85546875" style="118"/>
    <col min="8191" max="8191" width="18.5703125" style="118" customWidth="1"/>
    <col min="8192" max="8200" width="31.42578125" style="118" customWidth="1"/>
    <col min="8201" max="8217" width="36.85546875" style="118" customWidth="1"/>
    <col min="8218" max="8218" width="37" style="118" customWidth="1"/>
    <col min="8219" max="8234" width="36.85546875" style="118" customWidth="1"/>
    <col min="8235" max="8235" width="37.140625" style="118" customWidth="1"/>
    <col min="8236" max="8237" width="36.85546875" style="118" customWidth="1"/>
    <col min="8238" max="8238" width="36.5703125" style="118" customWidth="1"/>
    <col min="8239" max="8240" width="36.85546875" style="118" customWidth="1"/>
    <col min="8241" max="8241" width="36.5703125" style="118" customWidth="1"/>
    <col min="8242" max="8242" width="37" style="118" customWidth="1"/>
    <col min="8243" max="8261" width="36.85546875" style="118" customWidth="1"/>
    <col min="8262" max="8262" width="37" style="118" customWidth="1"/>
    <col min="8263" max="8280" width="36.85546875" style="118" customWidth="1"/>
    <col min="8281" max="8281" width="36.5703125" style="118" customWidth="1"/>
    <col min="8282" max="8294" width="36.85546875" style="118" customWidth="1"/>
    <col min="8295" max="8295" width="36.5703125" style="118" customWidth="1"/>
    <col min="8296" max="8298" width="36.85546875" style="118" customWidth="1"/>
    <col min="8299" max="8299" width="36.5703125" style="118" customWidth="1"/>
    <col min="8300" max="8307" width="36.85546875" style="118" customWidth="1"/>
    <col min="8308" max="8308" width="36.5703125" style="118" customWidth="1"/>
    <col min="8309" max="8446" width="36.85546875" style="118"/>
    <col min="8447" max="8447" width="18.5703125" style="118" customWidth="1"/>
    <col min="8448" max="8456" width="31.42578125" style="118" customWidth="1"/>
    <col min="8457" max="8473" width="36.85546875" style="118" customWidth="1"/>
    <col min="8474" max="8474" width="37" style="118" customWidth="1"/>
    <col min="8475" max="8490" width="36.85546875" style="118" customWidth="1"/>
    <col min="8491" max="8491" width="37.140625" style="118" customWidth="1"/>
    <col min="8492" max="8493" width="36.85546875" style="118" customWidth="1"/>
    <col min="8494" max="8494" width="36.5703125" style="118" customWidth="1"/>
    <col min="8495" max="8496" width="36.85546875" style="118" customWidth="1"/>
    <col min="8497" max="8497" width="36.5703125" style="118" customWidth="1"/>
    <col min="8498" max="8498" width="37" style="118" customWidth="1"/>
    <col min="8499" max="8517" width="36.85546875" style="118" customWidth="1"/>
    <col min="8518" max="8518" width="37" style="118" customWidth="1"/>
    <col min="8519" max="8536" width="36.85546875" style="118" customWidth="1"/>
    <col min="8537" max="8537" width="36.5703125" style="118" customWidth="1"/>
    <col min="8538" max="8550" width="36.85546875" style="118" customWidth="1"/>
    <col min="8551" max="8551" width="36.5703125" style="118" customWidth="1"/>
    <col min="8552" max="8554" width="36.85546875" style="118" customWidth="1"/>
    <col min="8555" max="8555" width="36.5703125" style="118" customWidth="1"/>
    <col min="8556" max="8563" width="36.85546875" style="118" customWidth="1"/>
    <col min="8564" max="8564" width="36.5703125" style="118" customWidth="1"/>
    <col min="8565" max="8702" width="36.85546875" style="118"/>
    <col min="8703" max="8703" width="18.5703125" style="118" customWidth="1"/>
    <col min="8704" max="8712" width="31.42578125" style="118" customWidth="1"/>
    <col min="8713" max="8729" width="36.85546875" style="118" customWidth="1"/>
    <col min="8730" max="8730" width="37" style="118" customWidth="1"/>
    <col min="8731" max="8746" width="36.85546875" style="118" customWidth="1"/>
    <col min="8747" max="8747" width="37.140625" style="118" customWidth="1"/>
    <col min="8748" max="8749" width="36.85546875" style="118" customWidth="1"/>
    <col min="8750" max="8750" width="36.5703125" style="118" customWidth="1"/>
    <col min="8751" max="8752" width="36.85546875" style="118" customWidth="1"/>
    <col min="8753" max="8753" width="36.5703125" style="118" customWidth="1"/>
    <col min="8754" max="8754" width="37" style="118" customWidth="1"/>
    <col min="8755" max="8773" width="36.85546875" style="118" customWidth="1"/>
    <col min="8774" max="8774" width="37" style="118" customWidth="1"/>
    <col min="8775" max="8792" width="36.85546875" style="118" customWidth="1"/>
    <col min="8793" max="8793" width="36.5703125" style="118" customWidth="1"/>
    <col min="8794" max="8806" width="36.85546875" style="118" customWidth="1"/>
    <col min="8807" max="8807" width="36.5703125" style="118" customWidth="1"/>
    <col min="8808" max="8810" width="36.85546875" style="118" customWidth="1"/>
    <col min="8811" max="8811" width="36.5703125" style="118" customWidth="1"/>
    <col min="8812" max="8819" width="36.85546875" style="118" customWidth="1"/>
    <col min="8820" max="8820" width="36.5703125" style="118" customWidth="1"/>
    <col min="8821" max="8958" width="36.85546875" style="118"/>
    <col min="8959" max="8959" width="18.5703125" style="118" customWidth="1"/>
    <col min="8960" max="8968" width="31.42578125" style="118" customWidth="1"/>
    <col min="8969" max="8985" width="36.85546875" style="118" customWidth="1"/>
    <col min="8986" max="8986" width="37" style="118" customWidth="1"/>
    <col min="8987" max="9002" width="36.85546875" style="118" customWidth="1"/>
    <col min="9003" max="9003" width="37.140625" style="118" customWidth="1"/>
    <col min="9004" max="9005" width="36.85546875" style="118" customWidth="1"/>
    <col min="9006" max="9006" width="36.5703125" style="118" customWidth="1"/>
    <col min="9007" max="9008" width="36.85546875" style="118" customWidth="1"/>
    <col min="9009" max="9009" width="36.5703125" style="118" customWidth="1"/>
    <col min="9010" max="9010" width="37" style="118" customWidth="1"/>
    <col min="9011" max="9029" width="36.85546875" style="118" customWidth="1"/>
    <col min="9030" max="9030" width="37" style="118" customWidth="1"/>
    <col min="9031" max="9048" width="36.85546875" style="118" customWidth="1"/>
    <col min="9049" max="9049" width="36.5703125" style="118" customWidth="1"/>
    <col min="9050" max="9062" width="36.85546875" style="118" customWidth="1"/>
    <col min="9063" max="9063" width="36.5703125" style="118" customWidth="1"/>
    <col min="9064" max="9066" width="36.85546875" style="118" customWidth="1"/>
    <col min="9067" max="9067" width="36.5703125" style="118" customWidth="1"/>
    <col min="9068" max="9075" width="36.85546875" style="118" customWidth="1"/>
    <col min="9076" max="9076" width="36.5703125" style="118" customWidth="1"/>
    <col min="9077" max="9214" width="36.85546875" style="118"/>
    <col min="9215" max="9215" width="18.5703125" style="118" customWidth="1"/>
    <col min="9216" max="9224" width="31.42578125" style="118" customWidth="1"/>
    <col min="9225" max="9241" width="36.85546875" style="118" customWidth="1"/>
    <col min="9242" max="9242" width="37" style="118" customWidth="1"/>
    <col min="9243" max="9258" width="36.85546875" style="118" customWidth="1"/>
    <col min="9259" max="9259" width="37.140625" style="118" customWidth="1"/>
    <col min="9260" max="9261" width="36.85546875" style="118" customWidth="1"/>
    <col min="9262" max="9262" width="36.5703125" style="118" customWidth="1"/>
    <col min="9263" max="9264" width="36.85546875" style="118" customWidth="1"/>
    <col min="9265" max="9265" width="36.5703125" style="118" customWidth="1"/>
    <col min="9266" max="9266" width="37" style="118" customWidth="1"/>
    <col min="9267" max="9285" width="36.85546875" style="118" customWidth="1"/>
    <col min="9286" max="9286" width="37" style="118" customWidth="1"/>
    <col min="9287" max="9304" width="36.85546875" style="118" customWidth="1"/>
    <col min="9305" max="9305" width="36.5703125" style="118" customWidth="1"/>
    <col min="9306" max="9318" width="36.85546875" style="118" customWidth="1"/>
    <col min="9319" max="9319" width="36.5703125" style="118" customWidth="1"/>
    <col min="9320" max="9322" width="36.85546875" style="118" customWidth="1"/>
    <col min="9323" max="9323" width="36.5703125" style="118" customWidth="1"/>
    <col min="9324" max="9331" width="36.85546875" style="118" customWidth="1"/>
    <col min="9332" max="9332" width="36.5703125" style="118" customWidth="1"/>
    <col min="9333" max="9470" width="36.85546875" style="118"/>
    <col min="9471" max="9471" width="18.5703125" style="118" customWidth="1"/>
    <col min="9472" max="9480" width="31.42578125" style="118" customWidth="1"/>
    <col min="9481" max="9497" width="36.85546875" style="118" customWidth="1"/>
    <col min="9498" max="9498" width="37" style="118" customWidth="1"/>
    <col min="9499" max="9514" width="36.85546875" style="118" customWidth="1"/>
    <col min="9515" max="9515" width="37.140625" style="118" customWidth="1"/>
    <col min="9516" max="9517" width="36.85546875" style="118" customWidth="1"/>
    <col min="9518" max="9518" width="36.5703125" style="118" customWidth="1"/>
    <col min="9519" max="9520" width="36.85546875" style="118" customWidth="1"/>
    <col min="9521" max="9521" width="36.5703125" style="118" customWidth="1"/>
    <col min="9522" max="9522" width="37" style="118" customWidth="1"/>
    <col min="9523" max="9541" width="36.85546875" style="118" customWidth="1"/>
    <col min="9542" max="9542" width="37" style="118" customWidth="1"/>
    <col min="9543" max="9560" width="36.85546875" style="118" customWidth="1"/>
    <col min="9561" max="9561" width="36.5703125" style="118" customWidth="1"/>
    <col min="9562" max="9574" width="36.85546875" style="118" customWidth="1"/>
    <col min="9575" max="9575" width="36.5703125" style="118" customWidth="1"/>
    <col min="9576" max="9578" width="36.85546875" style="118" customWidth="1"/>
    <col min="9579" max="9579" width="36.5703125" style="118" customWidth="1"/>
    <col min="9580" max="9587" width="36.85546875" style="118" customWidth="1"/>
    <col min="9588" max="9588" width="36.5703125" style="118" customWidth="1"/>
    <col min="9589" max="9726" width="36.85546875" style="118"/>
    <col min="9727" max="9727" width="18.5703125" style="118" customWidth="1"/>
    <col min="9728" max="9736" width="31.42578125" style="118" customWidth="1"/>
    <col min="9737" max="9753" width="36.85546875" style="118" customWidth="1"/>
    <col min="9754" max="9754" width="37" style="118" customWidth="1"/>
    <col min="9755" max="9770" width="36.85546875" style="118" customWidth="1"/>
    <col min="9771" max="9771" width="37.140625" style="118" customWidth="1"/>
    <col min="9772" max="9773" width="36.85546875" style="118" customWidth="1"/>
    <col min="9774" max="9774" width="36.5703125" style="118" customWidth="1"/>
    <col min="9775" max="9776" width="36.85546875" style="118" customWidth="1"/>
    <col min="9777" max="9777" width="36.5703125" style="118" customWidth="1"/>
    <col min="9778" max="9778" width="37" style="118" customWidth="1"/>
    <col min="9779" max="9797" width="36.85546875" style="118" customWidth="1"/>
    <col min="9798" max="9798" width="37" style="118" customWidth="1"/>
    <col min="9799" max="9816" width="36.85546875" style="118" customWidth="1"/>
    <col min="9817" max="9817" width="36.5703125" style="118" customWidth="1"/>
    <col min="9818" max="9830" width="36.85546875" style="118" customWidth="1"/>
    <col min="9831" max="9831" width="36.5703125" style="118" customWidth="1"/>
    <col min="9832" max="9834" width="36.85546875" style="118" customWidth="1"/>
    <col min="9835" max="9835" width="36.5703125" style="118" customWidth="1"/>
    <col min="9836" max="9843" width="36.85546875" style="118" customWidth="1"/>
    <col min="9844" max="9844" width="36.5703125" style="118" customWidth="1"/>
    <col min="9845" max="9982" width="36.85546875" style="118"/>
    <col min="9983" max="9983" width="18.5703125" style="118" customWidth="1"/>
    <col min="9984" max="9992" width="31.42578125" style="118" customWidth="1"/>
    <col min="9993" max="10009" width="36.85546875" style="118" customWidth="1"/>
    <col min="10010" max="10010" width="37" style="118" customWidth="1"/>
    <col min="10011" max="10026" width="36.85546875" style="118" customWidth="1"/>
    <col min="10027" max="10027" width="37.140625" style="118" customWidth="1"/>
    <col min="10028" max="10029" width="36.85546875" style="118" customWidth="1"/>
    <col min="10030" max="10030" width="36.5703125" style="118" customWidth="1"/>
    <col min="10031" max="10032" width="36.85546875" style="118" customWidth="1"/>
    <col min="10033" max="10033" width="36.5703125" style="118" customWidth="1"/>
    <col min="10034" max="10034" width="37" style="118" customWidth="1"/>
    <col min="10035" max="10053" width="36.85546875" style="118" customWidth="1"/>
    <col min="10054" max="10054" width="37" style="118" customWidth="1"/>
    <col min="10055" max="10072" width="36.85546875" style="118" customWidth="1"/>
    <col min="10073" max="10073" width="36.5703125" style="118" customWidth="1"/>
    <col min="10074" max="10086" width="36.85546875" style="118" customWidth="1"/>
    <col min="10087" max="10087" width="36.5703125" style="118" customWidth="1"/>
    <col min="10088" max="10090" width="36.85546875" style="118" customWidth="1"/>
    <col min="10091" max="10091" width="36.5703125" style="118" customWidth="1"/>
    <col min="10092" max="10099" width="36.85546875" style="118" customWidth="1"/>
    <col min="10100" max="10100" width="36.5703125" style="118" customWidth="1"/>
    <col min="10101" max="10238" width="36.85546875" style="118"/>
    <col min="10239" max="10239" width="18.5703125" style="118" customWidth="1"/>
    <col min="10240" max="10248" width="31.42578125" style="118" customWidth="1"/>
    <col min="10249" max="10265" width="36.85546875" style="118" customWidth="1"/>
    <col min="10266" max="10266" width="37" style="118" customWidth="1"/>
    <col min="10267" max="10282" width="36.85546875" style="118" customWidth="1"/>
    <col min="10283" max="10283" width="37.140625" style="118" customWidth="1"/>
    <col min="10284" max="10285" width="36.85546875" style="118" customWidth="1"/>
    <col min="10286" max="10286" width="36.5703125" style="118" customWidth="1"/>
    <col min="10287" max="10288" width="36.85546875" style="118" customWidth="1"/>
    <col min="10289" max="10289" width="36.5703125" style="118" customWidth="1"/>
    <col min="10290" max="10290" width="37" style="118" customWidth="1"/>
    <col min="10291" max="10309" width="36.85546875" style="118" customWidth="1"/>
    <col min="10310" max="10310" width="37" style="118" customWidth="1"/>
    <col min="10311" max="10328" width="36.85546875" style="118" customWidth="1"/>
    <col min="10329" max="10329" width="36.5703125" style="118" customWidth="1"/>
    <col min="10330" max="10342" width="36.85546875" style="118" customWidth="1"/>
    <col min="10343" max="10343" width="36.5703125" style="118" customWidth="1"/>
    <col min="10344" max="10346" width="36.85546875" style="118" customWidth="1"/>
    <col min="10347" max="10347" width="36.5703125" style="118" customWidth="1"/>
    <col min="10348" max="10355" width="36.85546875" style="118" customWidth="1"/>
    <col min="10356" max="10356" width="36.5703125" style="118" customWidth="1"/>
    <col min="10357" max="10494" width="36.85546875" style="118"/>
    <col min="10495" max="10495" width="18.5703125" style="118" customWidth="1"/>
    <col min="10496" max="10504" width="31.42578125" style="118" customWidth="1"/>
    <col min="10505" max="10521" width="36.85546875" style="118" customWidth="1"/>
    <col min="10522" max="10522" width="37" style="118" customWidth="1"/>
    <col min="10523" max="10538" width="36.85546875" style="118" customWidth="1"/>
    <col min="10539" max="10539" width="37.140625" style="118" customWidth="1"/>
    <col min="10540" max="10541" width="36.85546875" style="118" customWidth="1"/>
    <col min="10542" max="10542" width="36.5703125" style="118" customWidth="1"/>
    <col min="10543" max="10544" width="36.85546875" style="118" customWidth="1"/>
    <col min="10545" max="10545" width="36.5703125" style="118" customWidth="1"/>
    <col min="10546" max="10546" width="37" style="118" customWidth="1"/>
    <col min="10547" max="10565" width="36.85546875" style="118" customWidth="1"/>
    <col min="10566" max="10566" width="37" style="118" customWidth="1"/>
    <col min="10567" max="10584" width="36.85546875" style="118" customWidth="1"/>
    <col min="10585" max="10585" width="36.5703125" style="118" customWidth="1"/>
    <col min="10586" max="10598" width="36.85546875" style="118" customWidth="1"/>
    <col min="10599" max="10599" width="36.5703125" style="118" customWidth="1"/>
    <col min="10600" max="10602" width="36.85546875" style="118" customWidth="1"/>
    <col min="10603" max="10603" width="36.5703125" style="118" customWidth="1"/>
    <col min="10604" max="10611" width="36.85546875" style="118" customWidth="1"/>
    <col min="10612" max="10612" width="36.5703125" style="118" customWidth="1"/>
    <col min="10613" max="10750" width="36.85546875" style="118"/>
    <col min="10751" max="10751" width="18.5703125" style="118" customWidth="1"/>
    <col min="10752" max="10760" width="31.42578125" style="118" customWidth="1"/>
    <col min="10761" max="10777" width="36.85546875" style="118" customWidth="1"/>
    <col min="10778" max="10778" width="37" style="118" customWidth="1"/>
    <col min="10779" max="10794" width="36.85546875" style="118" customWidth="1"/>
    <col min="10795" max="10795" width="37.140625" style="118" customWidth="1"/>
    <col min="10796" max="10797" width="36.85546875" style="118" customWidth="1"/>
    <col min="10798" max="10798" width="36.5703125" style="118" customWidth="1"/>
    <col min="10799" max="10800" width="36.85546875" style="118" customWidth="1"/>
    <col min="10801" max="10801" width="36.5703125" style="118" customWidth="1"/>
    <col min="10802" max="10802" width="37" style="118" customWidth="1"/>
    <col min="10803" max="10821" width="36.85546875" style="118" customWidth="1"/>
    <col min="10822" max="10822" width="37" style="118" customWidth="1"/>
    <col min="10823" max="10840" width="36.85546875" style="118" customWidth="1"/>
    <col min="10841" max="10841" width="36.5703125" style="118" customWidth="1"/>
    <col min="10842" max="10854" width="36.85546875" style="118" customWidth="1"/>
    <col min="10855" max="10855" width="36.5703125" style="118" customWidth="1"/>
    <col min="10856" max="10858" width="36.85546875" style="118" customWidth="1"/>
    <col min="10859" max="10859" width="36.5703125" style="118" customWidth="1"/>
    <col min="10860" max="10867" width="36.85546875" style="118" customWidth="1"/>
    <col min="10868" max="10868" width="36.5703125" style="118" customWidth="1"/>
    <col min="10869" max="11006" width="36.85546875" style="118"/>
    <col min="11007" max="11007" width="18.5703125" style="118" customWidth="1"/>
    <col min="11008" max="11016" width="31.42578125" style="118" customWidth="1"/>
    <col min="11017" max="11033" width="36.85546875" style="118" customWidth="1"/>
    <col min="11034" max="11034" width="37" style="118" customWidth="1"/>
    <col min="11035" max="11050" width="36.85546875" style="118" customWidth="1"/>
    <col min="11051" max="11051" width="37.140625" style="118" customWidth="1"/>
    <col min="11052" max="11053" width="36.85546875" style="118" customWidth="1"/>
    <col min="11054" max="11054" width="36.5703125" style="118" customWidth="1"/>
    <col min="11055" max="11056" width="36.85546875" style="118" customWidth="1"/>
    <col min="11057" max="11057" width="36.5703125" style="118" customWidth="1"/>
    <col min="11058" max="11058" width="37" style="118" customWidth="1"/>
    <col min="11059" max="11077" width="36.85546875" style="118" customWidth="1"/>
    <col min="11078" max="11078" width="37" style="118" customWidth="1"/>
    <col min="11079" max="11096" width="36.85546875" style="118" customWidth="1"/>
    <col min="11097" max="11097" width="36.5703125" style="118" customWidth="1"/>
    <col min="11098" max="11110" width="36.85546875" style="118" customWidth="1"/>
    <col min="11111" max="11111" width="36.5703125" style="118" customWidth="1"/>
    <col min="11112" max="11114" width="36.85546875" style="118" customWidth="1"/>
    <col min="11115" max="11115" width="36.5703125" style="118" customWidth="1"/>
    <col min="11116" max="11123" width="36.85546875" style="118" customWidth="1"/>
    <col min="11124" max="11124" width="36.5703125" style="118" customWidth="1"/>
    <col min="11125" max="11262" width="36.85546875" style="118"/>
    <col min="11263" max="11263" width="18.5703125" style="118" customWidth="1"/>
    <col min="11264" max="11272" width="31.42578125" style="118" customWidth="1"/>
    <col min="11273" max="11289" width="36.85546875" style="118" customWidth="1"/>
    <col min="11290" max="11290" width="37" style="118" customWidth="1"/>
    <col min="11291" max="11306" width="36.85546875" style="118" customWidth="1"/>
    <col min="11307" max="11307" width="37.140625" style="118" customWidth="1"/>
    <col min="11308" max="11309" width="36.85546875" style="118" customWidth="1"/>
    <col min="11310" max="11310" width="36.5703125" style="118" customWidth="1"/>
    <col min="11311" max="11312" width="36.85546875" style="118" customWidth="1"/>
    <col min="11313" max="11313" width="36.5703125" style="118" customWidth="1"/>
    <col min="11314" max="11314" width="37" style="118" customWidth="1"/>
    <col min="11315" max="11333" width="36.85546875" style="118" customWidth="1"/>
    <col min="11334" max="11334" width="37" style="118" customWidth="1"/>
    <col min="11335" max="11352" width="36.85546875" style="118" customWidth="1"/>
    <col min="11353" max="11353" width="36.5703125" style="118" customWidth="1"/>
    <col min="11354" max="11366" width="36.85546875" style="118" customWidth="1"/>
    <col min="11367" max="11367" width="36.5703125" style="118" customWidth="1"/>
    <col min="11368" max="11370" width="36.85546875" style="118" customWidth="1"/>
    <col min="11371" max="11371" width="36.5703125" style="118" customWidth="1"/>
    <col min="11372" max="11379" width="36.85546875" style="118" customWidth="1"/>
    <col min="11380" max="11380" width="36.5703125" style="118" customWidth="1"/>
    <col min="11381" max="11518" width="36.85546875" style="118"/>
    <col min="11519" max="11519" width="18.5703125" style="118" customWidth="1"/>
    <col min="11520" max="11528" width="31.42578125" style="118" customWidth="1"/>
    <col min="11529" max="11545" width="36.85546875" style="118" customWidth="1"/>
    <col min="11546" max="11546" width="37" style="118" customWidth="1"/>
    <col min="11547" max="11562" width="36.85546875" style="118" customWidth="1"/>
    <col min="11563" max="11563" width="37.140625" style="118" customWidth="1"/>
    <col min="11564" max="11565" width="36.85546875" style="118" customWidth="1"/>
    <col min="11566" max="11566" width="36.5703125" style="118" customWidth="1"/>
    <col min="11567" max="11568" width="36.85546875" style="118" customWidth="1"/>
    <col min="11569" max="11569" width="36.5703125" style="118" customWidth="1"/>
    <col min="11570" max="11570" width="37" style="118" customWidth="1"/>
    <col min="11571" max="11589" width="36.85546875" style="118" customWidth="1"/>
    <col min="11590" max="11590" width="37" style="118" customWidth="1"/>
    <col min="11591" max="11608" width="36.85546875" style="118" customWidth="1"/>
    <col min="11609" max="11609" width="36.5703125" style="118" customWidth="1"/>
    <col min="11610" max="11622" width="36.85546875" style="118" customWidth="1"/>
    <col min="11623" max="11623" width="36.5703125" style="118" customWidth="1"/>
    <col min="11624" max="11626" width="36.85546875" style="118" customWidth="1"/>
    <col min="11627" max="11627" width="36.5703125" style="118" customWidth="1"/>
    <col min="11628" max="11635" width="36.85546875" style="118" customWidth="1"/>
    <col min="11636" max="11636" width="36.5703125" style="118" customWidth="1"/>
    <col min="11637" max="11774" width="36.85546875" style="118"/>
    <col min="11775" max="11775" width="18.5703125" style="118" customWidth="1"/>
    <col min="11776" max="11784" width="31.42578125" style="118" customWidth="1"/>
    <col min="11785" max="11801" width="36.85546875" style="118" customWidth="1"/>
    <col min="11802" max="11802" width="37" style="118" customWidth="1"/>
    <col min="11803" max="11818" width="36.85546875" style="118" customWidth="1"/>
    <col min="11819" max="11819" width="37.140625" style="118" customWidth="1"/>
    <col min="11820" max="11821" width="36.85546875" style="118" customWidth="1"/>
    <col min="11822" max="11822" width="36.5703125" style="118" customWidth="1"/>
    <col min="11823" max="11824" width="36.85546875" style="118" customWidth="1"/>
    <col min="11825" max="11825" width="36.5703125" style="118" customWidth="1"/>
    <col min="11826" max="11826" width="37" style="118" customWidth="1"/>
    <col min="11827" max="11845" width="36.85546875" style="118" customWidth="1"/>
    <col min="11846" max="11846" width="37" style="118" customWidth="1"/>
    <col min="11847" max="11864" width="36.85546875" style="118" customWidth="1"/>
    <col min="11865" max="11865" width="36.5703125" style="118" customWidth="1"/>
    <col min="11866" max="11878" width="36.85546875" style="118" customWidth="1"/>
    <col min="11879" max="11879" width="36.5703125" style="118" customWidth="1"/>
    <col min="11880" max="11882" width="36.85546875" style="118" customWidth="1"/>
    <col min="11883" max="11883" width="36.5703125" style="118" customWidth="1"/>
    <col min="11884" max="11891" width="36.85546875" style="118" customWidth="1"/>
    <col min="11892" max="11892" width="36.5703125" style="118" customWidth="1"/>
    <col min="11893" max="12030" width="36.85546875" style="118"/>
    <col min="12031" max="12031" width="18.5703125" style="118" customWidth="1"/>
    <col min="12032" max="12040" width="31.42578125" style="118" customWidth="1"/>
    <col min="12041" max="12057" width="36.85546875" style="118" customWidth="1"/>
    <col min="12058" max="12058" width="37" style="118" customWidth="1"/>
    <col min="12059" max="12074" width="36.85546875" style="118" customWidth="1"/>
    <col min="12075" max="12075" width="37.140625" style="118" customWidth="1"/>
    <col min="12076" max="12077" width="36.85546875" style="118" customWidth="1"/>
    <col min="12078" max="12078" width="36.5703125" style="118" customWidth="1"/>
    <col min="12079" max="12080" width="36.85546875" style="118" customWidth="1"/>
    <col min="12081" max="12081" width="36.5703125" style="118" customWidth="1"/>
    <col min="12082" max="12082" width="37" style="118" customWidth="1"/>
    <col min="12083" max="12101" width="36.85546875" style="118" customWidth="1"/>
    <col min="12102" max="12102" width="37" style="118" customWidth="1"/>
    <col min="12103" max="12120" width="36.85546875" style="118" customWidth="1"/>
    <col min="12121" max="12121" width="36.5703125" style="118" customWidth="1"/>
    <col min="12122" max="12134" width="36.85546875" style="118" customWidth="1"/>
    <col min="12135" max="12135" width="36.5703125" style="118" customWidth="1"/>
    <col min="12136" max="12138" width="36.85546875" style="118" customWidth="1"/>
    <col min="12139" max="12139" width="36.5703125" style="118" customWidth="1"/>
    <col min="12140" max="12147" width="36.85546875" style="118" customWidth="1"/>
    <col min="12148" max="12148" width="36.5703125" style="118" customWidth="1"/>
    <col min="12149" max="12286" width="36.85546875" style="118"/>
    <col min="12287" max="12287" width="18.5703125" style="118" customWidth="1"/>
    <col min="12288" max="12296" width="31.42578125" style="118" customWidth="1"/>
    <col min="12297" max="12313" width="36.85546875" style="118" customWidth="1"/>
    <col min="12314" max="12314" width="37" style="118" customWidth="1"/>
    <col min="12315" max="12330" width="36.85546875" style="118" customWidth="1"/>
    <col min="12331" max="12331" width="37.140625" style="118" customWidth="1"/>
    <col min="12332" max="12333" width="36.85546875" style="118" customWidth="1"/>
    <col min="12334" max="12334" width="36.5703125" style="118" customWidth="1"/>
    <col min="12335" max="12336" width="36.85546875" style="118" customWidth="1"/>
    <col min="12337" max="12337" width="36.5703125" style="118" customWidth="1"/>
    <col min="12338" max="12338" width="37" style="118" customWidth="1"/>
    <col min="12339" max="12357" width="36.85546875" style="118" customWidth="1"/>
    <col min="12358" max="12358" width="37" style="118" customWidth="1"/>
    <col min="12359" max="12376" width="36.85546875" style="118" customWidth="1"/>
    <col min="12377" max="12377" width="36.5703125" style="118" customWidth="1"/>
    <col min="12378" max="12390" width="36.85546875" style="118" customWidth="1"/>
    <col min="12391" max="12391" width="36.5703125" style="118" customWidth="1"/>
    <col min="12392" max="12394" width="36.85546875" style="118" customWidth="1"/>
    <col min="12395" max="12395" width="36.5703125" style="118" customWidth="1"/>
    <col min="12396" max="12403" width="36.85546875" style="118" customWidth="1"/>
    <col min="12404" max="12404" width="36.5703125" style="118" customWidth="1"/>
    <col min="12405" max="12542" width="36.85546875" style="118"/>
    <col min="12543" max="12543" width="18.5703125" style="118" customWidth="1"/>
    <col min="12544" max="12552" width="31.42578125" style="118" customWidth="1"/>
    <col min="12553" max="12569" width="36.85546875" style="118" customWidth="1"/>
    <col min="12570" max="12570" width="37" style="118" customWidth="1"/>
    <col min="12571" max="12586" width="36.85546875" style="118" customWidth="1"/>
    <col min="12587" max="12587" width="37.140625" style="118" customWidth="1"/>
    <col min="12588" max="12589" width="36.85546875" style="118" customWidth="1"/>
    <col min="12590" max="12590" width="36.5703125" style="118" customWidth="1"/>
    <col min="12591" max="12592" width="36.85546875" style="118" customWidth="1"/>
    <col min="12593" max="12593" width="36.5703125" style="118" customWidth="1"/>
    <col min="12594" max="12594" width="37" style="118" customWidth="1"/>
    <col min="12595" max="12613" width="36.85546875" style="118" customWidth="1"/>
    <col min="12614" max="12614" width="37" style="118" customWidth="1"/>
    <col min="12615" max="12632" width="36.85546875" style="118" customWidth="1"/>
    <col min="12633" max="12633" width="36.5703125" style="118" customWidth="1"/>
    <col min="12634" max="12646" width="36.85546875" style="118" customWidth="1"/>
    <col min="12647" max="12647" width="36.5703125" style="118" customWidth="1"/>
    <col min="12648" max="12650" width="36.85546875" style="118" customWidth="1"/>
    <col min="12651" max="12651" width="36.5703125" style="118" customWidth="1"/>
    <col min="12652" max="12659" width="36.85546875" style="118" customWidth="1"/>
    <col min="12660" max="12660" width="36.5703125" style="118" customWidth="1"/>
    <col min="12661" max="12798" width="36.85546875" style="118"/>
    <col min="12799" max="12799" width="18.5703125" style="118" customWidth="1"/>
    <col min="12800" max="12808" width="31.42578125" style="118" customWidth="1"/>
    <col min="12809" max="12825" width="36.85546875" style="118" customWidth="1"/>
    <col min="12826" max="12826" width="37" style="118" customWidth="1"/>
    <col min="12827" max="12842" width="36.85546875" style="118" customWidth="1"/>
    <col min="12843" max="12843" width="37.140625" style="118" customWidth="1"/>
    <col min="12844" max="12845" width="36.85546875" style="118" customWidth="1"/>
    <col min="12846" max="12846" width="36.5703125" style="118" customWidth="1"/>
    <col min="12847" max="12848" width="36.85546875" style="118" customWidth="1"/>
    <col min="12849" max="12849" width="36.5703125" style="118" customWidth="1"/>
    <col min="12850" max="12850" width="37" style="118" customWidth="1"/>
    <col min="12851" max="12869" width="36.85546875" style="118" customWidth="1"/>
    <col min="12870" max="12870" width="37" style="118" customWidth="1"/>
    <col min="12871" max="12888" width="36.85546875" style="118" customWidth="1"/>
    <col min="12889" max="12889" width="36.5703125" style="118" customWidth="1"/>
    <col min="12890" max="12902" width="36.85546875" style="118" customWidth="1"/>
    <col min="12903" max="12903" width="36.5703125" style="118" customWidth="1"/>
    <col min="12904" max="12906" width="36.85546875" style="118" customWidth="1"/>
    <col min="12907" max="12907" width="36.5703125" style="118" customWidth="1"/>
    <col min="12908" max="12915" width="36.85546875" style="118" customWidth="1"/>
    <col min="12916" max="12916" width="36.5703125" style="118" customWidth="1"/>
    <col min="12917" max="13054" width="36.85546875" style="118"/>
    <col min="13055" max="13055" width="18.5703125" style="118" customWidth="1"/>
    <col min="13056" max="13064" width="31.42578125" style="118" customWidth="1"/>
    <col min="13065" max="13081" width="36.85546875" style="118" customWidth="1"/>
    <col min="13082" max="13082" width="37" style="118" customWidth="1"/>
    <col min="13083" max="13098" width="36.85546875" style="118" customWidth="1"/>
    <col min="13099" max="13099" width="37.140625" style="118" customWidth="1"/>
    <col min="13100" max="13101" width="36.85546875" style="118" customWidth="1"/>
    <col min="13102" max="13102" width="36.5703125" style="118" customWidth="1"/>
    <col min="13103" max="13104" width="36.85546875" style="118" customWidth="1"/>
    <col min="13105" max="13105" width="36.5703125" style="118" customWidth="1"/>
    <col min="13106" max="13106" width="37" style="118" customWidth="1"/>
    <col min="13107" max="13125" width="36.85546875" style="118" customWidth="1"/>
    <col min="13126" max="13126" width="37" style="118" customWidth="1"/>
    <col min="13127" max="13144" width="36.85546875" style="118" customWidth="1"/>
    <col min="13145" max="13145" width="36.5703125" style="118" customWidth="1"/>
    <col min="13146" max="13158" width="36.85546875" style="118" customWidth="1"/>
    <col min="13159" max="13159" width="36.5703125" style="118" customWidth="1"/>
    <col min="13160" max="13162" width="36.85546875" style="118" customWidth="1"/>
    <col min="13163" max="13163" width="36.5703125" style="118" customWidth="1"/>
    <col min="13164" max="13171" width="36.85546875" style="118" customWidth="1"/>
    <col min="13172" max="13172" width="36.5703125" style="118" customWidth="1"/>
    <col min="13173" max="13310" width="36.85546875" style="118"/>
    <col min="13311" max="13311" width="18.5703125" style="118" customWidth="1"/>
    <col min="13312" max="13320" width="31.42578125" style="118" customWidth="1"/>
    <col min="13321" max="13337" width="36.85546875" style="118" customWidth="1"/>
    <col min="13338" max="13338" width="37" style="118" customWidth="1"/>
    <col min="13339" max="13354" width="36.85546875" style="118" customWidth="1"/>
    <col min="13355" max="13355" width="37.140625" style="118" customWidth="1"/>
    <col min="13356" max="13357" width="36.85546875" style="118" customWidth="1"/>
    <col min="13358" max="13358" width="36.5703125" style="118" customWidth="1"/>
    <col min="13359" max="13360" width="36.85546875" style="118" customWidth="1"/>
    <col min="13361" max="13361" width="36.5703125" style="118" customWidth="1"/>
    <col min="13362" max="13362" width="37" style="118" customWidth="1"/>
    <col min="13363" max="13381" width="36.85546875" style="118" customWidth="1"/>
    <col min="13382" max="13382" width="37" style="118" customWidth="1"/>
    <col min="13383" max="13400" width="36.85546875" style="118" customWidth="1"/>
    <col min="13401" max="13401" width="36.5703125" style="118" customWidth="1"/>
    <col min="13402" max="13414" width="36.85546875" style="118" customWidth="1"/>
    <col min="13415" max="13415" width="36.5703125" style="118" customWidth="1"/>
    <col min="13416" max="13418" width="36.85546875" style="118" customWidth="1"/>
    <col min="13419" max="13419" width="36.5703125" style="118" customWidth="1"/>
    <col min="13420" max="13427" width="36.85546875" style="118" customWidth="1"/>
    <col min="13428" max="13428" width="36.5703125" style="118" customWidth="1"/>
    <col min="13429" max="13566" width="36.85546875" style="118"/>
    <col min="13567" max="13567" width="18.5703125" style="118" customWidth="1"/>
    <col min="13568" max="13576" width="31.42578125" style="118" customWidth="1"/>
    <col min="13577" max="13593" width="36.85546875" style="118" customWidth="1"/>
    <col min="13594" max="13594" width="37" style="118" customWidth="1"/>
    <col min="13595" max="13610" width="36.85546875" style="118" customWidth="1"/>
    <col min="13611" max="13611" width="37.140625" style="118" customWidth="1"/>
    <col min="13612" max="13613" width="36.85546875" style="118" customWidth="1"/>
    <col min="13614" max="13614" width="36.5703125" style="118" customWidth="1"/>
    <col min="13615" max="13616" width="36.85546875" style="118" customWidth="1"/>
    <col min="13617" max="13617" width="36.5703125" style="118" customWidth="1"/>
    <col min="13618" max="13618" width="37" style="118" customWidth="1"/>
    <col min="13619" max="13637" width="36.85546875" style="118" customWidth="1"/>
    <col min="13638" max="13638" width="37" style="118" customWidth="1"/>
    <col min="13639" max="13656" width="36.85546875" style="118" customWidth="1"/>
    <col min="13657" max="13657" width="36.5703125" style="118" customWidth="1"/>
    <col min="13658" max="13670" width="36.85546875" style="118" customWidth="1"/>
    <col min="13671" max="13671" width="36.5703125" style="118" customWidth="1"/>
    <col min="13672" max="13674" width="36.85546875" style="118" customWidth="1"/>
    <col min="13675" max="13675" width="36.5703125" style="118" customWidth="1"/>
    <col min="13676" max="13683" width="36.85546875" style="118" customWidth="1"/>
    <col min="13684" max="13684" width="36.5703125" style="118" customWidth="1"/>
    <col min="13685" max="13822" width="36.85546875" style="118"/>
    <col min="13823" max="13823" width="18.5703125" style="118" customWidth="1"/>
    <col min="13824" max="13832" width="31.42578125" style="118" customWidth="1"/>
    <col min="13833" max="13849" width="36.85546875" style="118" customWidth="1"/>
    <col min="13850" max="13850" width="37" style="118" customWidth="1"/>
    <col min="13851" max="13866" width="36.85546875" style="118" customWidth="1"/>
    <col min="13867" max="13867" width="37.140625" style="118" customWidth="1"/>
    <col min="13868" max="13869" width="36.85546875" style="118" customWidth="1"/>
    <col min="13870" max="13870" width="36.5703125" style="118" customWidth="1"/>
    <col min="13871" max="13872" width="36.85546875" style="118" customWidth="1"/>
    <col min="13873" max="13873" width="36.5703125" style="118" customWidth="1"/>
    <col min="13874" max="13874" width="37" style="118" customWidth="1"/>
    <col min="13875" max="13893" width="36.85546875" style="118" customWidth="1"/>
    <col min="13894" max="13894" width="37" style="118" customWidth="1"/>
    <col min="13895" max="13912" width="36.85546875" style="118" customWidth="1"/>
    <col min="13913" max="13913" width="36.5703125" style="118" customWidth="1"/>
    <col min="13914" max="13926" width="36.85546875" style="118" customWidth="1"/>
    <col min="13927" max="13927" width="36.5703125" style="118" customWidth="1"/>
    <col min="13928" max="13930" width="36.85546875" style="118" customWidth="1"/>
    <col min="13931" max="13931" width="36.5703125" style="118" customWidth="1"/>
    <col min="13932" max="13939" width="36.85546875" style="118" customWidth="1"/>
    <col min="13940" max="13940" width="36.5703125" style="118" customWidth="1"/>
    <col min="13941" max="14078" width="36.85546875" style="118"/>
    <col min="14079" max="14079" width="18.5703125" style="118" customWidth="1"/>
    <col min="14080" max="14088" width="31.42578125" style="118" customWidth="1"/>
    <col min="14089" max="14105" width="36.85546875" style="118" customWidth="1"/>
    <col min="14106" max="14106" width="37" style="118" customWidth="1"/>
    <col min="14107" max="14122" width="36.85546875" style="118" customWidth="1"/>
    <col min="14123" max="14123" width="37.140625" style="118" customWidth="1"/>
    <col min="14124" max="14125" width="36.85546875" style="118" customWidth="1"/>
    <col min="14126" max="14126" width="36.5703125" style="118" customWidth="1"/>
    <col min="14127" max="14128" width="36.85546875" style="118" customWidth="1"/>
    <col min="14129" max="14129" width="36.5703125" style="118" customWidth="1"/>
    <col min="14130" max="14130" width="37" style="118" customWidth="1"/>
    <col min="14131" max="14149" width="36.85546875" style="118" customWidth="1"/>
    <col min="14150" max="14150" width="37" style="118" customWidth="1"/>
    <col min="14151" max="14168" width="36.85546875" style="118" customWidth="1"/>
    <col min="14169" max="14169" width="36.5703125" style="118" customWidth="1"/>
    <col min="14170" max="14182" width="36.85546875" style="118" customWidth="1"/>
    <col min="14183" max="14183" width="36.5703125" style="118" customWidth="1"/>
    <col min="14184" max="14186" width="36.85546875" style="118" customWidth="1"/>
    <col min="14187" max="14187" width="36.5703125" style="118" customWidth="1"/>
    <col min="14188" max="14195" width="36.85546875" style="118" customWidth="1"/>
    <col min="14196" max="14196" width="36.5703125" style="118" customWidth="1"/>
    <col min="14197" max="14334" width="36.85546875" style="118"/>
    <col min="14335" max="14335" width="18.5703125" style="118" customWidth="1"/>
    <col min="14336" max="14344" width="31.42578125" style="118" customWidth="1"/>
    <col min="14345" max="14361" width="36.85546875" style="118" customWidth="1"/>
    <col min="14362" max="14362" width="37" style="118" customWidth="1"/>
    <col min="14363" max="14378" width="36.85546875" style="118" customWidth="1"/>
    <col min="14379" max="14379" width="37.140625" style="118" customWidth="1"/>
    <col min="14380" max="14381" width="36.85546875" style="118" customWidth="1"/>
    <col min="14382" max="14382" width="36.5703125" style="118" customWidth="1"/>
    <col min="14383" max="14384" width="36.85546875" style="118" customWidth="1"/>
    <col min="14385" max="14385" width="36.5703125" style="118" customWidth="1"/>
    <col min="14386" max="14386" width="37" style="118" customWidth="1"/>
    <col min="14387" max="14405" width="36.85546875" style="118" customWidth="1"/>
    <col min="14406" max="14406" width="37" style="118" customWidth="1"/>
    <col min="14407" max="14424" width="36.85546875" style="118" customWidth="1"/>
    <col min="14425" max="14425" width="36.5703125" style="118" customWidth="1"/>
    <col min="14426" max="14438" width="36.85546875" style="118" customWidth="1"/>
    <col min="14439" max="14439" width="36.5703125" style="118" customWidth="1"/>
    <col min="14440" max="14442" width="36.85546875" style="118" customWidth="1"/>
    <col min="14443" max="14443" width="36.5703125" style="118" customWidth="1"/>
    <col min="14444" max="14451" width="36.85546875" style="118" customWidth="1"/>
    <col min="14452" max="14452" width="36.5703125" style="118" customWidth="1"/>
    <col min="14453" max="14590" width="36.85546875" style="118"/>
    <col min="14591" max="14591" width="18.5703125" style="118" customWidth="1"/>
    <col min="14592" max="14600" width="31.42578125" style="118" customWidth="1"/>
    <col min="14601" max="14617" width="36.85546875" style="118" customWidth="1"/>
    <col min="14618" max="14618" width="37" style="118" customWidth="1"/>
    <col min="14619" max="14634" width="36.85546875" style="118" customWidth="1"/>
    <col min="14635" max="14635" width="37.140625" style="118" customWidth="1"/>
    <col min="14636" max="14637" width="36.85546875" style="118" customWidth="1"/>
    <col min="14638" max="14638" width="36.5703125" style="118" customWidth="1"/>
    <col min="14639" max="14640" width="36.85546875" style="118" customWidth="1"/>
    <col min="14641" max="14641" width="36.5703125" style="118" customWidth="1"/>
    <col min="14642" max="14642" width="37" style="118" customWidth="1"/>
    <col min="14643" max="14661" width="36.85546875" style="118" customWidth="1"/>
    <col min="14662" max="14662" width="37" style="118" customWidth="1"/>
    <col min="14663" max="14680" width="36.85546875" style="118" customWidth="1"/>
    <col min="14681" max="14681" width="36.5703125" style="118" customWidth="1"/>
    <col min="14682" max="14694" width="36.85546875" style="118" customWidth="1"/>
    <col min="14695" max="14695" width="36.5703125" style="118" customWidth="1"/>
    <col min="14696" max="14698" width="36.85546875" style="118" customWidth="1"/>
    <col min="14699" max="14699" width="36.5703125" style="118" customWidth="1"/>
    <col min="14700" max="14707" width="36.85546875" style="118" customWidth="1"/>
    <col min="14708" max="14708" width="36.5703125" style="118" customWidth="1"/>
    <col min="14709" max="14846" width="36.85546875" style="118"/>
    <col min="14847" max="14847" width="18.5703125" style="118" customWidth="1"/>
    <col min="14848" max="14856" width="31.42578125" style="118" customWidth="1"/>
    <col min="14857" max="14873" width="36.85546875" style="118" customWidth="1"/>
    <col min="14874" max="14874" width="37" style="118" customWidth="1"/>
    <col min="14875" max="14890" width="36.85546875" style="118" customWidth="1"/>
    <col min="14891" max="14891" width="37.140625" style="118" customWidth="1"/>
    <col min="14892" max="14893" width="36.85546875" style="118" customWidth="1"/>
    <col min="14894" max="14894" width="36.5703125" style="118" customWidth="1"/>
    <col min="14895" max="14896" width="36.85546875" style="118" customWidth="1"/>
    <col min="14897" max="14897" width="36.5703125" style="118" customWidth="1"/>
    <col min="14898" max="14898" width="37" style="118" customWidth="1"/>
    <col min="14899" max="14917" width="36.85546875" style="118" customWidth="1"/>
    <col min="14918" max="14918" width="37" style="118" customWidth="1"/>
    <col min="14919" max="14936" width="36.85546875" style="118" customWidth="1"/>
    <col min="14937" max="14937" width="36.5703125" style="118" customWidth="1"/>
    <col min="14938" max="14950" width="36.85546875" style="118" customWidth="1"/>
    <col min="14951" max="14951" width="36.5703125" style="118" customWidth="1"/>
    <col min="14952" max="14954" width="36.85546875" style="118" customWidth="1"/>
    <col min="14955" max="14955" width="36.5703125" style="118" customWidth="1"/>
    <col min="14956" max="14963" width="36.85546875" style="118" customWidth="1"/>
    <col min="14964" max="14964" width="36.5703125" style="118" customWidth="1"/>
    <col min="14965" max="15102" width="36.85546875" style="118"/>
    <col min="15103" max="15103" width="18.5703125" style="118" customWidth="1"/>
    <col min="15104" max="15112" width="31.42578125" style="118" customWidth="1"/>
    <col min="15113" max="15129" width="36.85546875" style="118" customWidth="1"/>
    <col min="15130" max="15130" width="37" style="118" customWidth="1"/>
    <col min="15131" max="15146" width="36.85546875" style="118" customWidth="1"/>
    <col min="15147" max="15147" width="37.140625" style="118" customWidth="1"/>
    <col min="15148" max="15149" width="36.85546875" style="118" customWidth="1"/>
    <col min="15150" max="15150" width="36.5703125" style="118" customWidth="1"/>
    <col min="15151" max="15152" width="36.85546875" style="118" customWidth="1"/>
    <col min="15153" max="15153" width="36.5703125" style="118" customWidth="1"/>
    <col min="15154" max="15154" width="37" style="118" customWidth="1"/>
    <col min="15155" max="15173" width="36.85546875" style="118" customWidth="1"/>
    <col min="15174" max="15174" width="37" style="118" customWidth="1"/>
    <col min="15175" max="15192" width="36.85546875" style="118" customWidth="1"/>
    <col min="15193" max="15193" width="36.5703125" style="118" customWidth="1"/>
    <col min="15194" max="15206" width="36.85546875" style="118" customWidth="1"/>
    <col min="15207" max="15207" width="36.5703125" style="118" customWidth="1"/>
    <col min="15208" max="15210" width="36.85546875" style="118" customWidth="1"/>
    <col min="15211" max="15211" width="36.5703125" style="118" customWidth="1"/>
    <col min="15212" max="15219" width="36.85546875" style="118" customWidth="1"/>
    <col min="15220" max="15220" width="36.5703125" style="118" customWidth="1"/>
    <col min="15221" max="15358" width="36.85546875" style="118"/>
    <col min="15359" max="15359" width="18.5703125" style="118" customWidth="1"/>
    <col min="15360" max="15368" width="31.42578125" style="118" customWidth="1"/>
    <col min="15369" max="15385" width="36.85546875" style="118" customWidth="1"/>
    <col min="15386" max="15386" width="37" style="118" customWidth="1"/>
    <col min="15387" max="15402" width="36.85546875" style="118" customWidth="1"/>
    <col min="15403" max="15403" width="37.140625" style="118" customWidth="1"/>
    <col min="15404" max="15405" width="36.85546875" style="118" customWidth="1"/>
    <col min="15406" max="15406" width="36.5703125" style="118" customWidth="1"/>
    <col min="15407" max="15408" width="36.85546875" style="118" customWidth="1"/>
    <col min="15409" max="15409" width="36.5703125" style="118" customWidth="1"/>
    <col min="15410" max="15410" width="37" style="118" customWidth="1"/>
    <col min="15411" max="15429" width="36.85546875" style="118" customWidth="1"/>
    <col min="15430" max="15430" width="37" style="118" customWidth="1"/>
    <col min="15431" max="15448" width="36.85546875" style="118" customWidth="1"/>
    <col min="15449" max="15449" width="36.5703125" style="118" customWidth="1"/>
    <col min="15450" max="15462" width="36.85546875" style="118" customWidth="1"/>
    <col min="15463" max="15463" width="36.5703125" style="118" customWidth="1"/>
    <col min="15464" max="15466" width="36.85546875" style="118" customWidth="1"/>
    <col min="15467" max="15467" width="36.5703125" style="118" customWidth="1"/>
    <col min="15468" max="15475" width="36.85546875" style="118" customWidth="1"/>
    <col min="15476" max="15476" width="36.5703125" style="118" customWidth="1"/>
    <col min="15477" max="15614" width="36.85546875" style="118"/>
    <col min="15615" max="15615" width="18.5703125" style="118" customWidth="1"/>
    <col min="15616" max="15624" width="31.42578125" style="118" customWidth="1"/>
    <col min="15625" max="15641" width="36.85546875" style="118" customWidth="1"/>
    <col min="15642" max="15642" width="37" style="118" customWidth="1"/>
    <col min="15643" max="15658" width="36.85546875" style="118" customWidth="1"/>
    <col min="15659" max="15659" width="37.140625" style="118" customWidth="1"/>
    <col min="15660" max="15661" width="36.85546875" style="118" customWidth="1"/>
    <col min="15662" max="15662" width="36.5703125" style="118" customWidth="1"/>
    <col min="15663" max="15664" width="36.85546875" style="118" customWidth="1"/>
    <col min="15665" max="15665" width="36.5703125" style="118" customWidth="1"/>
    <col min="15666" max="15666" width="37" style="118" customWidth="1"/>
    <col min="15667" max="15685" width="36.85546875" style="118" customWidth="1"/>
    <col min="15686" max="15686" width="37" style="118" customWidth="1"/>
    <col min="15687" max="15704" width="36.85546875" style="118" customWidth="1"/>
    <col min="15705" max="15705" width="36.5703125" style="118" customWidth="1"/>
    <col min="15706" max="15718" width="36.85546875" style="118" customWidth="1"/>
    <col min="15719" max="15719" width="36.5703125" style="118" customWidth="1"/>
    <col min="15720" max="15722" width="36.85546875" style="118" customWidth="1"/>
    <col min="15723" max="15723" width="36.5703125" style="118" customWidth="1"/>
    <col min="15724" max="15731" width="36.85546875" style="118" customWidth="1"/>
    <col min="15732" max="15732" width="36.5703125" style="118" customWidth="1"/>
    <col min="15733" max="15870" width="36.85546875" style="118"/>
    <col min="15871" max="15871" width="18.5703125" style="118" customWidth="1"/>
    <col min="15872" max="15880" width="31.42578125" style="118" customWidth="1"/>
    <col min="15881" max="15897" width="36.85546875" style="118" customWidth="1"/>
    <col min="15898" max="15898" width="37" style="118" customWidth="1"/>
    <col min="15899" max="15914" width="36.85546875" style="118" customWidth="1"/>
    <col min="15915" max="15915" width="37.140625" style="118" customWidth="1"/>
    <col min="15916" max="15917" width="36.85546875" style="118" customWidth="1"/>
    <col min="15918" max="15918" width="36.5703125" style="118" customWidth="1"/>
    <col min="15919" max="15920" width="36.85546875" style="118" customWidth="1"/>
    <col min="15921" max="15921" width="36.5703125" style="118" customWidth="1"/>
    <col min="15922" max="15922" width="37" style="118" customWidth="1"/>
    <col min="15923" max="15941" width="36.85546875" style="118" customWidth="1"/>
    <col min="15942" max="15942" width="37" style="118" customWidth="1"/>
    <col min="15943" max="15960" width="36.85546875" style="118" customWidth="1"/>
    <col min="15961" max="15961" width="36.5703125" style="118" customWidth="1"/>
    <col min="15962" max="15974" width="36.85546875" style="118" customWidth="1"/>
    <col min="15975" max="15975" width="36.5703125" style="118" customWidth="1"/>
    <col min="15976" max="15978" width="36.85546875" style="118" customWidth="1"/>
    <col min="15979" max="15979" width="36.5703125" style="118" customWidth="1"/>
    <col min="15980" max="15987" width="36.85546875" style="118" customWidth="1"/>
    <col min="15988" max="15988" width="36.5703125" style="118" customWidth="1"/>
    <col min="15989" max="16126" width="36.85546875" style="118"/>
    <col min="16127" max="16127" width="18.5703125" style="118" customWidth="1"/>
    <col min="16128" max="16136" width="31.42578125" style="118" customWidth="1"/>
    <col min="16137" max="16153" width="36.85546875" style="118" customWidth="1"/>
    <col min="16154" max="16154" width="37" style="118" customWidth="1"/>
    <col min="16155" max="16170" width="36.85546875" style="118" customWidth="1"/>
    <col min="16171" max="16171" width="37.140625" style="118" customWidth="1"/>
    <col min="16172" max="16173" width="36.85546875" style="118" customWidth="1"/>
    <col min="16174" max="16174" width="36.5703125" style="118" customWidth="1"/>
    <col min="16175" max="16176" width="36.85546875" style="118" customWidth="1"/>
    <col min="16177" max="16177" width="36.5703125" style="118" customWidth="1"/>
    <col min="16178" max="16178" width="37" style="118" customWidth="1"/>
    <col min="16179" max="16197" width="36.85546875" style="118" customWidth="1"/>
    <col min="16198" max="16198" width="37" style="118" customWidth="1"/>
    <col min="16199" max="16216" width="36.85546875" style="118" customWidth="1"/>
    <col min="16217" max="16217" width="36.5703125" style="118" customWidth="1"/>
    <col min="16218" max="16230" width="36.85546875" style="118" customWidth="1"/>
    <col min="16231" max="16231" width="36.5703125" style="118" customWidth="1"/>
    <col min="16232" max="16234" width="36.85546875" style="118" customWidth="1"/>
    <col min="16235" max="16235" width="36.5703125" style="118" customWidth="1"/>
    <col min="16236" max="16243" width="36.85546875" style="118" customWidth="1"/>
    <col min="16244" max="16244" width="36.5703125" style="118" customWidth="1"/>
    <col min="16245" max="16384" width="36.85546875" style="118"/>
  </cols>
  <sheetData>
    <row r="1" spans="1:243" s="71" customFormat="1" ht="12.75" customHeight="1" x14ac:dyDescent="0.25">
      <c r="A1" s="67" t="s">
        <v>105</v>
      </c>
      <c r="B1" s="68"/>
      <c r="C1" s="69"/>
      <c r="D1" s="69"/>
      <c r="E1" s="69"/>
      <c r="F1" s="69"/>
      <c r="G1" s="417"/>
      <c r="H1" s="69"/>
      <c r="I1" s="69"/>
      <c r="J1" s="70"/>
      <c r="K1" s="70"/>
      <c r="L1" s="70"/>
      <c r="M1" s="70"/>
      <c r="N1" s="70"/>
      <c r="O1" s="70"/>
      <c r="P1" s="70"/>
      <c r="Q1" s="70"/>
      <c r="R1" s="70"/>
      <c r="S1" s="70"/>
      <c r="T1" s="417"/>
      <c r="U1" s="70"/>
      <c r="V1" s="70"/>
      <c r="W1" s="70"/>
      <c r="X1" s="70"/>
      <c r="Y1" s="70"/>
      <c r="Z1" s="70"/>
      <c r="AA1" s="70"/>
      <c r="AB1" s="70"/>
      <c r="AC1" s="70"/>
      <c r="AD1" s="70"/>
      <c r="AE1" s="70"/>
      <c r="AF1" s="70"/>
      <c r="AG1" s="70"/>
    </row>
    <row r="2" spans="1:243" s="75" customFormat="1" ht="12.75" customHeight="1" x14ac:dyDescent="0.25">
      <c r="A2" s="72" t="s">
        <v>106</v>
      </c>
      <c r="B2" s="73">
        <v>1</v>
      </c>
      <c r="C2" s="73">
        <v>2</v>
      </c>
      <c r="D2" s="73">
        <v>3</v>
      </c>
      <c r="E2" s="73">
        <v>4</v>
      </c>
      <c r="F2" s="73">
        <v>5</v>
      </c>
      <c r="G2" s="418">
        <v>6</v>
      </c>
      <c r="H2" s="73">
        <v>7</v>
      </c>
      <c r="I2" s="73">
        <v>8</v>
      </c>
      <c r="J2" s="73">
        <v>9</v>
      </c>
      <c r="K2" s="73">
        <v>10</v>
      </c>
      <c r="L2" s="73">
        <v>11</v>
      </c>
      <c r="M2" s="73">
        <v>12</v>
      </c>
      <c r="N2" s="73">
        <v>13</v>
      </c>
      <c r="O2" s="73">
        <v>14</v>
      </c>
      <c r="P2" s="73">
        <v>15</v>
      </c>
      <c r="Q2" s="73">
        <v>16</v>
      </c>
      <c r="R2" s="73">
        <v>17</v>
      </c>
      <c r="S2" s="73">
        <v>18</v>
      </c>
      <c r="T2" s="418">
        <v>19</v>
      </c>
      <c r="U2" s="73">
        <v>20</v>
      </c>
      <c r="V2" s="73">
        <v>21</v>
      </c>
      <c r="W2" s="73">
        <v>22</v>
      </c>
      <c r="X2" s="73">
        <v>23</v>
      </c>
      <c r="Y2" s="73">
        <v>24</v>
      </c>
      <c r="Z2" s="73"/>
      <c r="AA2" s="73"/>
      <c r="AB2" s="73"/>
      <c r="AC2" s="73"/>
      <c r="AD2" s="73"/>
      <c r="AE2" s="73"/>
      <c r="AF2" s="73"/>
      <c r="AG2" s="73"/>
      <c r="AH2" s="74"/>
      <c r="AI2" s="74" t="str">
        <f t="shared" ref="AI2:CT2" si="0">IF(AI3="","",AH2+1)</f>
        <v/>
      </c>
      <c r="AJ2" s="74" t="str">
        <f t="shared" si="0"/>
        <v/>
      </c>
      <c r="AK2" s="74" t="str">
        <f t="shared" si="0"/>
        <v/>
      </c>
      <c r="AL2" s="74" t="str">
        <f t="shared" si="0"/>
        <v/>
      </c>
      <c r="AM2" s="74" t="str">
        <f t="shared" si="0"/>
        <v/>
      </c>
      <c r="AN2" s="74" t="str">
        <f t="shared" si="0"/>
        <v/>
      </c>
      <c r="AO2" s="74" t="str">
        <f t="shared" si="0"/>
        <v/>
      </c>
      <c r="AP2" s="74" t="str">
        <f t="shared" si="0"/>
        <v/>
      </c>
      <c r="AQ2" s="74" t="str">
        <f t="shared" si="0"/>
        <v/>
      </c>
      <c r="AR2" s="74" t="str">
        <f t="shared" si="0"/>
        <v/>
      </c>
      <c r="AS2" s="74" t="str">
        <f t="shared" si="0"/>
        <v/>
      </c>
      <c r="AT2" s="74" t="str">
        <f t="shared" si="0"/>
        <v/>
      </c>
      <c r="AU2" s="74" t="str">
        <f t="shared" si="0"/>
        <v/>
      </c>
      <c r="AV2" s="74" t="str">
        <f t="shared" si="0"/>
        <v/>
      </c>
      <c r="AW2" s="74" t="str">
        <f t="shared" si="0"/>
        <v/>
      </c>
      <c r="AX2" s="74" t="str">
        <f t="shared" si="0"/>
        <v/>
      </c>
      <c r="AY2" s="74" t="str">
        <f t="shared" si="0"/>
        <v/>
      </c>
      <c r="AZ2" s="74" t="str">
        <f t="shared" si="0"/>
        <v/>
      </c>
      <c r="BA2" s="74" t="str">
        <f t="shared" si="0"/>
        <v/>
      </c>
      <c r="BB2" s="74" t="str">
        <f t="shared" si="0"/>
        <v/>
      </c>
      <c r="BC2" s="74" t="str">
        <f t="shared" si="0"/>
        <v/>
      </c>
      <c r="BD2" s="74" t="str">
        <f t="shared" si="0"/>
        <v/>
      </c>
      <c r="BE2" s="74" t="str">
        <f t="shared" si="0"/>
        <v/>
      </c>
      <c r="BF2" s="74" t="str">
        <f t="shared" si="0"/>
        <v/>
      </c>
      <c r="BG2" s="74" t="str">
        <f t="shared" si="0"/>
        <v/>
      </c>
      <c r="BH2" s="74" t="str">
        <f t="shared" si="0"/>
        <v/>
      </c>
      <c r="BI2" s="74" t="str">
        <f t="shared" si="0"/>
        <v/>
      </c>
      <c r="BJ2" s="74" t="str">
        <f t="shared" si="0"/>
        <v/>
      </c>
      <c r="BK2" s="74" t="str">
        <f t="shared" si="0"/>
        <v/>
      </c>
      <c r="BL2" s="74" t="str">
        <f t="shared" si="0"/>
        <v/>
      </c>
      <c r="BM2" s="74" t="str">
        <f t="shared" si="0"/>
        <v/>
      </c>
      <c r="BN2" s="74" t="str">
        <f t="shared" si="0"/>
        <v/>
      </c>
      <c r="BO2" s="74" t="str">
        <f t="shared" si="0"/>
        <v/>
      </c>
      <c r="BP2" s="74" t="str">
        <f t="shared" si="0"/>
        <v/>
      </c>
      <c r="BQ2" s="74" t="str">
        <f t="shared" si="0"/>
        <v/>
      </c>
      <c r="BR2" s="74" t="str">
        <f t="shared" si="0"/>
        <v/>
      </c>
      <c r="BS2" s="74" t="str">
        <f t="shared" si="0"/>
        <v/>
      </c>
      <c r="BT2" s="74" t="str">
        <f t="shared" si="0"/>
        <v/>
      </c>
      <c r="BU2" s="74" t="str">
        <f t="shared" si="0"/>
        <v/>
      </c>
      <c r="BV2" s="74" t="str">
        <f t="shared" si="0"/>
        <v/>
      </c>
      <c r="BW2" s="74" t="str">
        <f t="shared" si="0"/>
        <v/>
      </c>
      <c r="BX2" s="74" t="str">
        <f t="shared" si="0"/>
        <v/>
      </c>
      <c r="BY2" s="74" t="str">
        <f t="shared" si="0"/>
        <v/>
      </c>
      <c r="BZ2" s="74" t="str">
        <f t="shared" si="0"/>
        <v/>
      </c>
      <c r="CA2" s="74" t="str">
        <f t="shared" si="0"/>
        <v/>
      </c>
      <c r="CB2" s="74" t="str">
        <f t="shared" si="0"/>
        <v/>
      </c>
      <c r="CC2" s="74" t="str">
        <f t="shared" si="0"/>
        <v/>
      </c>
      <c r="CD2" s="74" t="str">
        <f t="shared" si="0"/>
        <v/>
      </c>
      <c r="CE2" s="74" t="str">
        <f t="shared" si="0"/>
        <v/>
      </c>
      <c r="CF2" s="74" t="str">
        <f t="shared" si="0"/>
        <v/>
      </c>
      <c r="CG2" s="74" t="str">
        <f t="shared" si="0"/>
        <v/>
      </c>
      <c r="CH2" s="74" t="str">
        <f t="shared" si="0"/>
        <v/>
      </c>
      <c r="CI2" s="74" t="str">
        <f t="shared" si="0"/>
        <v/>
      </c>
      <c r="CJ2" s="74" t="str">
        <f t="shared" si="0"/>
        <v/>
      </c>
      <c r="CK2" s="74" t="str">
        <f t="shared" si="0"/>
        <v/>
      </c>
      <c r="CL2" s="74" t="str">
        <f t="shared" si="0"/>
        <v/>
      </c>
      <c r="CM2" s="74" t="str">
        <f t="shared" si="0"/>
        <v/>
      </c>
      <c r="CN2" s="74" t="str">
        <f t="shared" si="0"/>
        <v/>
      </c>
      <c r="CO2" s="74" t="str">
        <f t="shared" si="0"/>
        <v/>
      </c>
      <c r="CP2" s="74" t="str">
        <f t="shared" si="0"/>
        <v/>
      </c>
      <c r="CQ2" s="74" t="str">
        <f t="shared" si="0"/>
        <v/>
      </c>
      <c r="CR2" s="74" t="str">
        <f t="shared" si="0"/>
        <v/>
      </c>
      <c r="CS2" s="74" t="str">
        <f t="shared" si="0"/>
        <v/>
      </c>
      <c r="CT2" s="74" t="str">
        <f t="shared" si="0"/>
        <v/>
      </c>
      <c r="CU2" s="74" t="str">
        <f t="shared" ref="CU2:FF2" si="1">IF(CU3="","",CT2+1)</f>
        <v/>
      </c>
      <c r="CV2" s="74" t="str">
        <f t="shared" si="1"/>
        <v/>
      </c>
      <c r="CW2" s="74" t="str">
        <f t="shared" si="1"/>
        <v/>
      </c>
      <c r="CX2" s="74" t="str">
        <f t="shared" si="1"/>
        <v/>
      </c>
      <c r="CY2" s="74" t="str">
        <f t="shared" si="1"/>
        <v/>
      </c>
      <c r="CZ2" s="74" t="str">
        <f t="shared" si="1"/>
        <v/>
      </c>
      <c r="DA2" s="74" t="str">
        <f t="shared" si="1"/>
        <v/>
      </c>
      <c r="DB2" s="74" t="str">
        <f t="shared" si="1"/>
        <v/>
      </c>
      <c r="DC2" s="74" t="str">
        <f t="shared" si="1"/>
        <v/>
      </c>
      <c r="DD2" s="74" t="str">
        <f t="shared" si="1"/>
        <v/>
      </c>
      <c r="DE2" s="74" t="str">
        <f t="shared" si="1"/>
        <v/>
      </c>
      <c r="DF2" s="74" t="str">
        <f t="shared" si="1"/>
        <v/>
      </c>
      <c r="DG2" s="74" t="str">
        <f t="shared" si="1"/>
        <v/>
      </c>
      <c r="DH2" s="74" t="str">
        <f t="shared" si="1"/>
        <v/>
      </c>
      <c r="DI2" s="74" t="str">
        <f t="shared" si="1"/>
        <v/>
      </c>
      <c r="DJ2" s="74" t="str">
        <f t="shared" si="1"/>
        <v/>
      </c>
      <c r="DK2" s="74" t="str">
        <f t="shared" si="1"/>
        <v/>
      </c>
      <c r="DL2" s="74" t="str">
        <f t="shared" si="1"/>
        <v/>
      </c>
      <c r="DM2" s="74" t="str">
        <f t="shared" si="1"/>
        <v/>
      </c>
      <c r="DN2" s="74" t="str">
        <f t="shared" si="1"/>
        <v/>
      </c>
      <c r="DO2" s="74" t="str">
        <f t="shared" si="1"/>
        <v/>
      </c>
      <c r="DP2" s="74" t="str">
        <f t="shared" si="1"/>
        <v/>
      </c>
      <c r="DQ2" s="74" t="str">
        <f t="shared" si="1"/>
        <v/>
      </c>
      <c r="DR2" s="74" t="str">
        <f t="shared" si="1"/>
        <v/>
      </c>
      <c r="DS2" s="74" t="str">
        <f t="shared" si="1"/>
        <v/>
      </c>
      <c r="DT2" s="74" t="str">
        <f t="shared" si="1"/>
        <v/>
      </c>
      <c r="DU2" s="74" t="str">
        <f t="shared" si="1"/>
        <v/>
      </c>
      <c r="DV2" s="74" t="str">
        <f t="shared" si="1"/>
        <v/>
      </c>
      <c r="DW2" s="74" t="str">
        <f t="shared" si="1"/>
        <v/>
      </c>
      <c r="DX2" s="74" t="str">
        <f t="shared" si="1"/>
        <v/>
      </c>
      <c r="DY2" s="74" t="str">
        <f t="shared" si="1"/>
        <v/>
      </c>
      <c r="DZ2" s="74" t="str">
        <f t="shared" si="1"/>
        <v/>
      </c>
      <c r="EA2" s="74" t="str">
        <f t="shared" si="1"/>
        <v/>
      </c>
      <c r="EB2" s="74" t="str">
        <f t="shared" si="1"/>
        <v/>
      </c>
      <c r="EC2" s="74" t="str">
        <f t="shared" si="1"/>
        <v/>
      </c>
      <c r="ED2" s="74" t="str">
        <f t="shared" si="1"/>
        <v/>
      </c>
      <c r="EE2" s="74" t="str">
        <f t="shared" si="1"/>
        <v/>
      </c>
      <c r="EF2" s="74" t="str">
        <f t="shared" si="1"/>
        <v/>
      </c>
      <c r="EG2" s="74" t="str">
        <f t="shared" si="1"/>
        <v/>
      </c>
      <c r="EH2" s="74" t="str">
        <f t="shared" si="1"/>
        <v/>
      </c>
      <c r="EI2" s="74" t="str">
        <f t="shared" si="1"/>
        <v/>
      </c>
      <c r="EJ2" s="74" t="str">
        <f t="shared" si="1"/>
        <v/>
      </c>
      <c r="EK2" s="74" t="str">
        <f t="shared" si="1"/>
        <v/>
      </c>
      <c r="EL2" s="74" t="str">
        <f t="shared" si="1"/>
        <v/>
      </c>
      <c r="EM2" s="74" t="str">
        <f t="shared" si="1"/>
        <v/>
      </c>
      <c r="EN2" s="74" t="str">
        <f t="shared" si="1"/>
        <v/>
      </c>
      <c r="EO2" s="74" t="str">
        <f t="shared" si="1"/>
        <v/>
      </c>
      <c r="EP2" s="74" t="str">
        <f t="shared" si="1"/>
        <v/>
      </c>
      <c r="EQ2" s="74" t="str">
        <f t="shared" si="1"/>
        <v/>
      </c>
      <c r="ER2" s="74" t="str">
        <f t="shared" si="1"/>
        <v/>
      </c>
      <c r="ES2" s="74" t="str">
        <f t="shared" si="1"/>
        <v/>
      </c>
      <c r="ET2" s="74" t="str">
        <f t="shared" si="1"/>
        <v/>
      </c>
      <c r="EU2" s="74" t="str">
        <f t="shared" si="1"/>
        <v/>
      </c>
      <c r="EV2" s="74" t="str">
        <f t="shared" si="1"/>
        <v/>
      </c>
      <c r="EW2" s="74" t="str">
        <f t="shared" si="1"/>
        <v/>
      </c>
      <c r="EX2" s="74" t="str">
        <f t="shared" si="1"/>
        <v/>
      </c>
      <c r="EY2" s="74" t="str">
        <f t="shared" si="1"/>
        <v/>
      </c>
      <c r="EZ2" s="74" t="str">
        <f t="shared" si="1"/>
        <v/>
      </c>
      <c r="FA2" s="74" t="str">
        <f t="shared" si="1"/>
        <v/>
      </c>
      <c r="FB2" s="74" t="str">
        <f t="shared" si="1"/>
        <v/>
      </c>
      <c r="FC2" s="74" t="str">
        <f t="shared" si="1"/>
        <v/>
      </c>
      <c r="FD2" s="74" t="str">
        <f t="shared" si="1"/>
        <v/>
      </c>
      <c r="FE2" s="74" t="str">
        <f t="shared" si="1"/>
        <v/>
      </c>
      <c r="FF2" s="74" t="str">
        <f t="shared" si="1"/>
        <v/>
      </c>
      <c r="FG2" s="74" t="str">
        <f t="shared" ref="FG2:HR2" si="2">IF(FG3="","",FF2+1)</f>
        <v/>
      </c>
      <c r="FH2" s="74" t="str">
        <f t="shared" si="2"/>
        <v/>
      </c>
      <c r="FI2" s="74" t="str">
        <f t="shared" si="2"/>
        <v/>
      </c>
      <c r="FJ2" s="74" t="str">
        <f t="shared" si="2"/>
        <v/>
      </c>
      <c r="FK2" s="74" t="str">
        <f t="shared" si="2"/>
        <v/>
      </c>
      <c r="FL2" s="74" t="str">
        <f t="shared" si="2"/>
        <v/>
      </c>
      <c r="FM2" s="74" t="str">
        <f t="shared" si="2"/>
        <v/>
      </c>
      <c r="FN2" s="74" t="str">
        <f t="shared" si="2"/>
        <v/>
      </c>
      <c r="FO2" s="74" t="str">
        <f t="shared" si="2"/>
        <v/>
      </c>
      <c r="FP2" s="74" t="str">
        <f t="shared" si="2"/>
        <v/>
      </c>
      <c r="FQ2" s="74" t="str">
        <f t="shared" si="2"/>
        <v/>
      </c>
      <c r="FR2" s="74" t="str">
        <f t="shared" si="2"/>
        <v/>
      </c>
      <c r="FS2" s="74" t="str">
        <f t="shared" si="2"/>
        <v/>
      </c>
      <c r="FT2" s="74" t="str">
        <f t="shared" si="2"/>
        <v/>
      </c>
      <c r="FU2" s="74" t="str">
        <f t="shared" si="2"/>
        <v/>
      </c>
      <c r="FV2" s="74" t="str">
        <f t="shared" si="2"/>
        <v/>
      </c>
      <c r="FW2" s="74" t="str">
        <f t="shared" si="2"/>
        <v/>
      </c>
      <c r="FX2" s="74" t="str">
        <f t="shared" si="2"/>
        <v/>
      </c>
      <c r="FY2" s="74" t="str">
        <f t="shared" si="2"/>
        <v/>
      </c>
      <c r="FZ2" s="74" t="str">
        <f t="shared" si="2"/>
        <v/>
      </c>
      <c r="GA2" s="74" t="str">
        <f t="shared" si="2"/>
        <v/>
      </c>
      <c r="GB2" s="74" t="str">
        <f t="shared" si="2"/>
        <v/>
      </c>
      <c r="GC2" s="74" t="str">
        <f t="shared" si="2"/>
        <v/>
      </c>
      <c r="GD2" s="74" t="str">
        <f t="shared" si="2"/>
        <v/>
      </c>
      <c r="GE2" s="74" t="str">
        <f t="shared" si="2"/>
        <v/>
      </c>
      <c r="GF2" s="74" t="str">
        <f t="shared" si="2"/>
        <v/>
      </c>
      <c r="GG2" s="74" t="str">
        <f t="shared" si="2"/>
        <v/>
      </c>
      <c r="GH2" s="74" t="str">
        <f t="shared" si="2"/>
        <v/>
      </c>
      <c r="GI2" s="74" t="str">
        <f t="shared" si="2"/>
        <v/>
      </c>
      <c r="GJ2" s="74" t="str">
        <f t="shared" si="2"/>
        <v/>
      </c>
      <c r="GK2" s="74" t="str">
        <f t="shared" si="2"/>
        <v/>
      </c>
      <c r="GL2" s="74" t="str">
        <f t="shared" si="2"/>
        <v/>
      </c>
      <c r="GM2" s="74" t="str">
        <f t="shared" si="2"/>
        <v/>
      </c>
      <c r="GN2" s="74" t="str">
        <f t="shared" si="2"/>
        <v/>
      </c>
      <c r="GO2" s="74" t="str">
        <f t="shared" si="2"/>
        <v/>
      </c>
      <c r="GP2" s="74" t="str">
        <f t="shared" si="2"/>
        <v/>
      </c>
      <c r="GQ2" s="74" t="str">
        <f t="shared" si="2"/>
        <v/>
      </c>
      <c r="GR2" s="74" t="str">
        <f t="shared" si="2"/>
        <v/>
      </c>
      <c r="GS2" s="74" t="str">
        <f t="shared" si="2"/>
        <v/>
      </c>
      <c r="GT2" s="74" t="str">
        <f t="shared" si="2"/>
        <v/>
      </c>
      <c r="GU2" s="74" t="str">
        <f t="shared" si="2"/>
        <v/>
      </c>
      <c r="GV2" s="74" t="str">
        <f t="shared" si="2"/>
        <v/>
      </c>
      <c r="GW2" s="74" t="str">
        <f t="shared" si="2"/>
        <v/>
      </c>
      <c r="GX2" s="74" t="str">
        <f t="shared" si="2"/>
        <v/>
      </c>
      <c r="GY2" s="74" t="str">
        <f t="shared" si="2"/>
        <v/>
      </c>
      <c r="GZ2" s="74" t="str">
        <f t="shared" si="2"/>
        <v/>
      </c>
      <c r="HA2" s="74" t="str">
        <f t="shared" si="2"/>
        <v/>
      </c>
      <c r="HB2" s="74" t="str">
        <f t="shared" si="2"/>
        <v/>
      </c>
      <c r="HC2" s="74" t="str">
        <f t="shared" si="2"/>
        <v/>
      </c>
      <c r="HD2" s="74" t="str">
        <f t="shared" si="2"/>
        <v/>
      </c>
      <c r="HE2" s="74" t="str">
        <f t="shared" si="2"/>
        <v/>
      </c>
      <c r="HF2" s="74" t="str">
        <f t="shared" si="2"/>
        <v/>
      </c>
      <c r="HG2" s="74" t="str">
        <f t="shared" si="2"/>
        <v/>
      </c>
      <c r="HH2" s="74" t="str">
        <f t="shared" si="2"/>
        <v/>
      </c>
      <c r="HI2" s="74" t="str">
        <f t="shared" si="2"/>
        <v/>
      </c>
      <c r="HJ2" s="74" t="str">
        <f t="shared" si="2"/>
        <v/>
      </c>
      <c r="HK2" s="74" t="str">
        <f t="shared" si="2"/>
        <v/>
      </c>
      <c r="HL2" s="74" t="str">
        <f t="shared" si="2"/>
        <v/>
      </c>
      <c r="HM2" s="74" t="str">
        <f t="shared" si="2"/>
        <v/>
      </c>
      <c r="HN2" s="74" t="str">
        <f t="shared" si="2"/>
        <v/>
      </c>
      <c r="HO2" s="74" t="str">
        <f t="shared" si="2"/>
        <v/>
      </c>
      <c r="HP2" s="74" t="str">
        <f t="shared" si="2"/>
        <v/>
      </c>
      <c r="HQ2" s="74" t="str">
        <f t="shared" si="2"/>
        <v/>
      </c>
      <c r="HR2" s="74" t="str">
        <f t="shared" si="2"/>
        <v/>
      </c>
      <c r="HS2" s="74" t="str">
        <f t="shared" ref="HS2:II2" si="3">IF(HS3="","",HR2+1)</f>
        <v/>
      </c>
      <c r="HT2" s="74" t="str">
        <f t="shared" si="3"/>
        <v/>
      </c>
      <c r="HU2" s="74" t="str">
        <f t="shared" si="3"/>
        <v/>
      </c>
      <c r="HV2" s="74" t="str">
        <f t="shared" si="3"/>
        <v/>
      </c>
      <c r="HW2" s="74" t="str">
        <f t="shared" si="3"/>
        <v/>
      </c>
      <c r="HX2" s="74" t="str">
        <f t="shared" si="3"/>
        <v/>
      </c>
      <c r="HY2" s="74" t="str">
        <f t="shared" si="3"/>
        <v/>
      </c>
      <c r="HZ2" s="74" t="str">
        <f t="shared" si="3"/>
        <v/>
      </c>
      <c r="IA2" s="74" t="str">
        <f t="shared" si="3"/>
        <v/>
      </c>
      <c r="IB2" s="74" t="str">
        <f t="shared" si="3"/>
        <v/>
      </c>
      <c r="IC2" s="74" t="str">
        <f t="shared" si="3"/>
        <v/>
      </c>
      <c r="ID2" s="74" t="str">
        <f t="shared" si="3"/>
        <v/>
      </c>
      <c r="IE2" s="74" t="str">
        <f t="shared" si="3"/>
        <v/>
      </c>
      <c r="IF2" s="74" t="str">
        <f t="shared" si="3"/>
        <v/>
      </c>
      <c r="IG2" s="74" t="str">
        <f t="shared" si="3"/>
        <v/>
      </c>
      <c r="IH2" s="74" t="str">
        <f t="shared" si="3"/>
        <v/>
      </c>
      <c r="II2" s="74" t="str">
        <f t="shared" si="3"/>
        <v/>
      </c>
    </row>
    <row r="3" spans="1:243" s="80" customFormat="1" x14ac:dyDescent="0.2">
      <c r="A3" s="76" t="s">
        <v>107</v>
      </c>
      <c r="B3" s="196" t="s">
        <v>108</v>
      </c>
      <c r="C3" s="78" t="s">
        <v>134</v>
      </c>
      <c r="D3" s="78" t="s">
        <v>134</v>
      </c>
      <c r="E3" s="78" t="s">
        <v>108</v>
      </c>
      <c r="F3" s="79" t="s">
        <v>108</v>
      </c>
      <c r="G3" s="419" t="s">
        <v>108</v>
      </c>
      <c r="H3" s="77" t="s">
        <v>108</v>
      </c>
      <c r="I3" s="77" t="s">
        <v>108</v>
      </c>
      <c r="J3" s="78" t="s">
        <v>133</v>
      </c>
      <c r="K3" s="78" t="s">
        <v>108</v>
      </c>
      <c r="L3" s="78" t="s">
        <v>134</v>
      </c>
      <c r="M3" s="77" t="s">
        <v>108</v>
      </c>
      <c r="N3" s="77" t="s">
        <v>108</v>
      </c>
      <c r="O3" s="78" t="s">
        <v>137</v>
      </c>
      <c r="P3" s="78" t="s">
        <v>108</v>
      </c>
      <c r="Q3" s="78" t="s">
        <v>108</v>
      </c>
      <c r="R3" s="78" t="s">
        <v>137</v>
      </c>
      <c r="S3" s="78" t="s">
        <v>137</v>
      </c>
      <c r="T3" s="419" t="s">
        <v>108</v>
      </c>
      <c r="U3" s="78" t="s">
        <v>108</v>
      </c>
      <c r="V3" s="78" t="s">
        <v>108</v>
      </c>
      <c r="W3" s="191" t="s">
        <v>108</v>
      </c>
      <c r="X3" s="191" t="s">
        <v>108</v>
      </c>
      <c r="Y3" s="78" t="s">
        <v>949</v>
      </c>
      <c r="Z3" s="78"/>
      <c r="AA3" s="78"/>
      <c r="AB3" s="78"/>
      <c r="AC3" s="78"/>
      <c r="AD3" s="78"/>
      <c r="AE3" s="78"/>
      <c r="AF3" s="78"/>
      <c r="AG3" s="78"/>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row>
    <row r="4" spans="1:243" s="80" customFormat="1" ht="63.75" x14ac:dyDescent="0.2">
      <c r="A4" s="76" t="s">
        <v>109</v>
      </c>
      <c r="B4" s="77" t="s">
        <v>220</v>
      </c>
      <c r="C4" s="77" t="s">
        <v>251</v>
      </c>
      <c r="D4" s="77" t="s">
        <v>262</v>
      </c>
      <c r="E4" s="78" t="s">
        <v>279</v>
      </c>
      <c r="F4" s="78" t="s">
        <v>285</v>
      </c>
      <c r="G4" s="426" t="s">
        <v>301</v>
      </c>
      <c r="H4" s="77" t="s">
        <v>333</v>
      </c>
      <c r="I4" s="191" t="s">
        <v>340</v>
      </c>
      <c r="J4" s="221" t="s">
        <v>347</v>
      </c>
      <c r="K4" s="77" t="s">
        <v>365</v>
      </c>
      <c r="L4" s="221" t="s">
        <v>377</v>
      </c>
      <c r="M4" s="77" t="s">
        <v>640</v>
      </c>
      <c r="N4" s="77" t="s">
        <v>649</v>
      </c>
      <c r="O4" s="78"/>
      <c r="P4" s="77" t="s">
        <v>709</v>
      </c>
      <c r="Q4" s="77" t="s">
        <v>759</v>
      </c>
      <c r="R4" s="78"/>
      <c r="S4" s="77"/>
      <c r="T4" s="419" t="s">
        <v>824</v>
      </c>
      <c r="U4" s="77" t="s">
        <v>850</v>
      </c>
      <c r="V4" s="82" t="s">
        <v>860</v>
      </c>
      <c r="W4" s="77" t="s">
        <v>898</v>
      </c>
      <c r="X4" s="78" t="s">
        <v>940</v>
      </c>
      <c r="Y4" s="77" t="s">
        <v>950</v>
      </c>
      <c r="Z4" s="77"/>
      <c r="AA4" s="78"/>
      <c r="AB4" s="78"/>
      <c r="AC4" s="78"/>
      <c r="AD4" s="78"/>
      <c r="AE4" s="78"/>
      <c r="AF4" s="78"/>
      <c r="AG4" s="78"/>
      <c r="AO4" s="83"/>
      <c r="AP4" s="83"/>
      <c r="AQ4" s="83"/>
      <c r="AR4" s="83"/>
      <c r="AS4" s="83"/>
      <c r="AT4" s="83"/>
      <c r="AU4" s="83"/>
      <c r="FY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row>
    <row r="5" spans="1:243" s="88" customFormat="1" ht="38.25" x14ac:dyDescent="0.2">
      <c r="A5" s="84" t="s">
        <v>110</v>
      </c>
      <c r="B5" s="85" t="s">
        <v>221</v>
      </c>
      <c r="C5" s="85" t="s">
        <v>252</v>
      </c>
      <c r="D5" s="86" t="s">
        <v>263</v>
      </c>
      <c r="E5" s="86" t="s">
        <v>222</v>
      </c>
      <c r="F5" s="85" t="s">
        <v>286</v>
      </c>
      <c r="G5" s="426" t="s">
        <v>302</v>
      </c>
      <c r="H5" s="86" t="s">
        <v>289</v>
      </c>
      <c r="I5" s="194" t="s">
        <v>341</v>
      </c>
      <c r="J5" s="109" t="s">
        <v>348</v>
      </c>
      <c r="K5" s="85" t="s">
        <v>222</v>
      </c>
      <c r="L5" s="109" t="s">
        <v>378</v>
      </c>
      <c r="M5" s="85" t="s">
        <v>641</v>
      </c>
      <c r="N5" s="85" t="s">
        <v>650</v>
      </c>
      <c r="O5" s="86" t="s">
        <v>715</v>
      </c>
      <c r="P5" s="85"/>
      <c r="Q5" s="86" t="s">
        <v>760</v>
      </c>
      <c r="R5" s="86" t="s">
        <v>715</v>
      </c>
      <c r="S5" s="85" t="s">
        <v>819</v>
      </c>
      <c r="T5" s="419" t="s">
        <v>650</v>
      </c>
      <c r="U5" s="85" t="s">
        <v>851</v>
      </c>
      <c r="V5" s="86" t="s">
        <v>861</v>
      </c>
      <c r="W5" s="85" t="s">
        <v>899</v>
      </c>
      <c r="X5" s="85" t="s">
        <v>650</v>
      </c>
      <c r="Y5" s="86" t="s">
        <v>951</v>
      </c>
      <c r="Z5" s="86"/>
      <c r="AA5" s="86"/>
      <c r="AB5" s="86"/>
      <c r="AC5" s="86"/>
      <c r="AD5" s="86"/>
      <c r="AE5" s="86"/>
      <c r="AF5" s="86"/>
      <c r="AG5" s="86"/>
      <c r="DM5" s="89"/>
      <c r="GA5" s="90"/>
      <c r="GB5" s="90"/>
      <c r="GC5" s="90"/>
      <c r="GD5" s="90"/>
      <c r="GE5" s="90"/>
      <c r="GF5" s="90"/>
      <c r="GG5" s="90"/>
      <c r="GH5" s="90"/>
      <c r="GI5" s="90"/>
      <c r="GJ5" s="90"/>
      <c r="GK5" s="90"/>
      <c r="GL5" s="90"/>
      <c r="GM5" s="90"/>
      <c r="GN5" s="90"/>
      <c r="GO5" s="90"/>
      <c r="GP5" s="90"/>
      <c r="GQ5" s="90"/>
      <c r="GR5" s="90"/>
      <c r="GS5" s="90"/>
      <c r="GT5" s="90"/>
      <c r="GU5" s="91"/>
      <c r="GV5" s="90"/>
      <c r="GW5" s="90"/>
      <c r="GX5" s="90"/>
      <c r="GY5" s="90"/>
      <c r="GZ5" s="90"/>
    </row>
    <row r="6" spans="1:243" s="88" customFormat="1" ht="38.25" x14ac:dyDescent="0.2">
      <c r="A6" s="84" t="s">
        <v>111</v>
      </c>
      <c r="B6" s="85" t="s">
        <v>222</v>
      </c>
      <c r="C6" s="86"/>
      <c r="D6" s="86"/>
      <c r="E6" s="86"/>
      <c r="F6" s="86" t="s">
        <v>287</v>
      </c>
      <c r="G6" s="427"/>
      <c r="H6" s="86"/>
      <c r="I6" s="194"/>
      <c r="J6" s="87"/>
      <c r="K6" s="86"/>
      <c r="L6" s="86" t="s">
        <v>379</v>
      </c>
      <c r="M6" s="85"/>
      <c r="N6" s="85"/>
      <c r="O6" s="86"/>
      <c r="P6" s="86"/>
      <c r="Q6" s="86" t="s">
        <v>761</v>
      </c>
      <c r="R6" s="86"/>
      <c r="S6" s="86"/>
      <c r="T6" s="419"/>
      <c r="U6" s="86"/>
      <c r="V6" s="86"/>
      <c r="W6" s="85"/>
      <c r="X6" s="85"/>
      <c r="Y6" s="86"/>
      <c r="Z6" s="86"/>
      <c r="AA6" s="86"/>
      <c r="AB6" s="86"/>
      <c r="AC6" s="86"/>
      <c r="AD6" s="86"/>
      <c r="AE6" s="86"/>
      <c r="AF6" s="86"/>
      <c r="AG6" s="86"/>
      <c r="GA6" s="90"/>
      <c r="GB6" s="90"/>
      <c r="GC6" s="90"/>
      <c r="GD6" s="90"/>
      <c r="GE6" s="90"/>
      <c r="GF6" s="90"/>
      <c r="GG6" s="90"/>
      <c r="GH6" s="90"/>
      <c r="GI6" s="90"/>
      <c r="GJ6" s="90"/>
      <c r="GK6" s="90"/>
      <c r="GL6" s="90"/>
      <c r="GM6" s="90"/>
      <c r="GN6" s="90"/>
      <c r="GO6" s="90"/>
      <c r="GP6" s="90"/>
      <c r="GQ6" s="90"/>
      <c r="GR6" s="90"/>
      <c r="GS6" s="90"/>
      <c r="GT6" s="90"/>
      <c r="GU6" s="90"/>
      <c r="GV6" s="90"/>
      <c r="GW6" s="90"/>
      <c r="GX6" s="90"/>
      <c r="GY6" s="90"/>
      <c r="GZ6" s="90"/>
    </row>
    <row r="7" spans="1:243" s="95" customFormat="1" x14ac:dyDescent="0.2">
      <c r="A7" s="76" t="s">
        <v>112</v>
      </c>
      <c r="B7" s="192"/>
      <c r="C7" s="93" t="s">
        <v>253</v>
      </c>
      <c r="D7" s="93" t="s">
        <v>264</v>
      </c>
      <c r="E7" s="92" t="s">
        <v>280</v>
      </c>
      <c r="F7" s="93" t="s">
        <v>288</v>
      </c>
      <c r="G7" s="428" t="s">
        <v>282</v>
      </c>
      <c r="H7" s="93" t="s">
        <v>334</v>
      </c>
      <c r="I7" s="193" t="s">
        <v>280</v>
      </c>
      <c r="J7" s="222"/>
      <c r="K7" s="93" t="s">
        <v>334</v>
      </c>
      <c r="L7" s="93" t="s">
        <v>334</v>
      </c>
      <c r="M7" s="92" t="s">
        <v>642</v>
      </c>
      <c r="N7" s="92" t="s">
        <v>651</v>
      </c>
      <c r="O7" s="93" t="s">
        <v>716</v>
      </c>
      <c r="P7" s="92" t="s">
        <v>710</v>
      </c>
      <c r="Q7" s="93" t="s">
        <v>264</v>
      </c>
      <c r="R7" s="93" t="s">
        <v>716</v>
      </c>
      <c r="S7" s="93" t="s">
        <v>716</v>
      </c>
      <c r="T7" s="420" t="s">
        <v>825</v>
      </c>
      <c r="U7" s="93" t="s">
        <v>282</v>
      </c>
      <c r="V7" s="93" t="s">
        <v>710</v>
      </c>
      <c r="W7" s="92" t="s">
        <v>710</v>
      </c>
      <c r="X7" s="92" t="s">
        <v>651</v>
      </c>
      <c r="Y7" s="93" t="s">
        <v>716</v>
      </c>
      <c r="Z7" s="93"/>
      <c r="AA7" s="93"/>
      <c r="AB7" s="93"/>
      <c r="AC7" s="93"/>
      <c r="AD7" s="93"/>
      <c r="AE7" s="93"/>
      <c r="AF7" s="93"/>
      <c r="AG7" s="93"/>
      <c r="GA7" s="96"/>
      <c r="GB7" s="96"/>
      <c r="GC7" s="96"/>
      <c r="GD7" s="96"/>
      <c r="GE7" s="96"/>
      <c r="GF7" s="96"/>
      <c r="GG7" s="96"/>
      <c r="GH7" s="96"/>
      <c r="GI7" s="96"/>
      <c r="GJ7" s="96"/>
      <c r="GK7" s="96"/>
      <c r="GL7" s="96"/>
      <c r="GM7" s="96"/>
      <c r="GN7" s="96"/>
      <c r="GO7" s="96"/>
      <c r="GP7" s="96"/>
      <c r="GQ7" s="96"/>
      <c r="GR7" s="96"/>
      <c r="GS7" s="96"/>
      <c r="GT7" s="96"/>
      <c r="GU7" s="96"/>
      <c r="GV7" s="96"/>
      <c r="GW7" s="96"/>
      <c r="GX7" s="96"/>
      <c r="GY7" s="96"/>
      <c r="GZ7" s="96"/>
    </row>
    <row r="8" spans="1:243" s="95" customFormat="1" ht="15" x14ac:dyDescent="0.2">
      <c r="A8" s="76" t="s">
        <v>113</v>
      </c>
      <c r="B8" s="192"/>
      <c r="C8" s="93"/>
      <c r="D8" s="93"/>
      <c r="E8" s="93"/>
      <c r="F8" s="93"/>
      <c r="G8" s="420"/>
      <c r="H8" s="93"/>
      <c r="I8" s="193"/>
      <c r="J8" s="94"/>
      <c r="K8" s="93"/>
      <c r="L8" s="234"/>
      <c r="M8" s="92" t="s">
        <v>643</v>
      </c>
      <c r="N8" s="92"/>
      <c r="O8" s="93" t="s">
        <v>717</v>
      </c>
      <c r="P8" s="93" t="s">
        <v>711</v>
      </c>
      <c r="Q8" s="93" t="s">
        <v>762</v>
      </c>
      <c r="R8" s="93" t="s">
        <v>764</v>
      </c>
      <c r="S8" s="93" t="s">
        <v>820</v>
      </c>
      <c r="T8" s="420" t="s">
        <v>826</v>
      </c>
      <c r="U8" s="93"/>
      <c r="V8" s="93"/>
      <c r="W8" s="92"/>
      <c r="X8" s="92"/>
      <c r="Y8" s="93"/>
      <c r="Z8" s="93"/>
      <c r="AA8" s="93"/>
      <c r="AB8" s="93"/>
      <c r="AC8" s="93"/>
      <c r="AD8" s="93"/>
      <c r="AE8" s="93"/>
      <c r="AF8" s="93"/>
      <c r="AG8" s="93"/>
      <c r="GA8" s="96"/>
      <c r="GB8" s="96"/>
      <c r="GC8" s="96"/>
      <c r="GD8" s="96"/>
      <c r="GE8" s="96"/>
      <c r="GF8" s="96"/>
      <c r="GG8" s="96"/>
      <c r="GH8" s="96"/>
      <c r="GI8" s="96"/>
      <c r="GJ8" s="96"/>
      <c r="GK8" s="96"/>
      <c r="GL8" s="96"/>
      <c r="GM8" s="96"/>
      <c r="GN8" s="96"/>
      <c r="GO8" s="96"/>
      <c r="GP8" s="96"/>
      <c r="GQ8" s="96"/>
      <c r="GR8" s="96"/>
      <c r="GS8" s="96"/>
      <c r="GT8" s="96"/>
      <c r="GU8" s="96"/>
      <c r="GV8" s="96"/>
      <c r="GW8" s="96"/>
      <c r="GX8" s="96"/>
      <c r="GY8" s="96"/>
      <c r="GZ8" s="96"/>
    </row>
    <row r="9" spans="1:243" s="88" customFormat="1" x14ac:dyDescent="0.2">
      <c r="A9" s="84" t="s">
        <v>114</v>
      </c>
      <c r="B9" s="85" t="s">
        <v>223</v>
      </c>
      <c r="C9" s="86" t="s">
        <v>223</v>
      </c>
      <c r="D9" s="86" t="s">
        <v>223</v>
      </c>
      <c r="E9" s="86" t="s">
        <v>223</v>
      </c>
      <c r="F9" s="86" t="s">
        <v>223</v>
      </c>
      <c r="G9" s="426" t="s">
        <v>223</v>
      </c>
      <c r="H9" s="86" t="s">
        <v>223</v>
      </c>
      <c r="I9" s="194" t="s">
        <v>223</v>
      </c>
      <c r="J9" s="109" t="s">
        <v>223</v>
      </c>
      <c r="K9" s="86" t="s">
        <v>223</v>
      </c>
      <c r="L9" s="85" t="s">
        <v>223</v>
      </c>
      <c r="M9" s="86" t="s">
        <v>223</v>
      </c>
      <c r="N9" s="86" t="s">
        <v>223</v>
      </c>
      <c r="O9" s="86"/>
      <c r="P9" s="97" t="s">
        <v>223</v>
      </c>
      <c r="Q9" s="86"/>
      <c r="R9" s="86"/>
      <c r="S9" s="85"/>
      <c r="T9" s="419"/>
      <c r="U9" s="86"/>
      <c r="V9" s="86"/>
      <c r="W9" s="97" t="s">
        <v>223</v>
      </c>
      <c r="X9" s="86" t="s">
        <v>223</v>
      </c>
      <c r="Y9" s="86"/>
      <c r="Z9" s="86"/>
      <c r="AA9" s="86"/>
      <c r="AB9" s="86"/>
      <c r="AC9" s="86"/>
      <c r="AD9" s="86"/>
      <c r="AE9" s="86"/>
      <c r="AF9" s="86"/>
      <c r="AG9" s="86"/>
      <c r="AW9" s="89"/>
      <c r="GA9" s="90"/>
      <c r="GB9" s="90"/>
      <c r="GC9" s="90"/>
      <c r="GD9" s="90"/>
      <c r="GE9" s="90"/>
      <c r="GF9" s="90"/>
      <c r="GG9" s="90"/>
      <c r="GH9" s="90"/>
      <c r="GI9" s="90"/>
      <c r="GJ9" s="90"/>
      <c r="GK9" s="90"/>
      <c r="GL9" s="90"/>
      <c r="GM9" s="90"/>
      <c r="GN9" s="90"/>
      <c r="GO9" s="90"/>
      <c r="GP9" s="90"/>
      <c r="GQ9" s="90"/>
      <c r="GR9" s="90"/>
      <c r="GS9" s="90"/>
      <c r="GT9" s="90"/>
      <c r="GU9" s="90"/>
      <c r="GV9" s="90"/>
      <c r="GW9" s="90"/>
      <c r="GX9" s="90"/>
      <c r="GY9" s="90"/>
      <c r="GZ9" s="90"/>
    </row>
    <row r="10" spans="1:243" s="88" customFormat="1" ht="38.25" x14ac:dyDescent="0.2">
      <c r="A10" s="84" t="s">
        <v>115</v>
      </c>
      <c r="B10" s="85" t="s">
        <v>224</v>
      </c>
      <c r="C10" s="86" t="s">
        <v>254</v>
      </c>
      <c r="D10" s="86" t="s">
        <v>263</v>
      </c>
      <c r="E10" s="85" t="s">
        <v>222</v>
      </c>
      <c r="F10" s="85" t="s">
        <v>449</v>
      </c>
      <c r="G10" s="426" t="s">
        <v>302</v>
      </c>
      <c r="H10" s="86" t="s">
        <v>289</v>
      </c>
      <c r="I10" s="194" t="s">
        <v>341</v>
      </c>
      <c r="J10" s="87" t="s">
        <v>348</v>
      </c>
      <c r="K10" s="86" t="s">
        <v>222</v>
      </c>
      <c r="L10" s="85" t="s">
        <v>380</v>
      </c>
      <c r="M10" s="85"/>
      <c r="N10" s="85" t="s">
        <v>652</v>
      </c>
      <c r="O10" s="86" t="s">
        <v>718</v>
      </c>
      <c r="P10" s="85" t="s">
        <v>712</v>
      </c>
      <c r="Q10" s="86"/>
      <c r="R10" s="86" t="s">
        <v>718</v>
      </c>
      <c r="S10" s="86" t="s">
        <v>821</v>
      </c>
      <c r="T10" s="419"/>
      <c r="U10" s="86"/>
      <c r="V10" s="86"/>
      <c r="W10" s="194" t="s">
        <v>900</v>
      </c>
      <c r="X10" s="85" t="s">
        <v>652</v>
      </c>
      <c r="Y10" s="86"/>
      <c r="Z10" s="86"/>
      <c r="AA10" s="86"/>
      <c r="AB10" s="86"/>
      <c r="AC10" s="86"/>
      <c r="AD10" s="86"/>
      <c r="AE10" s="86"/>
      <c r="AF10" s="86"/>
      <c r="AG10" s="86"/>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row>
    <row r="11" spans="1:243" s="95" customFormat="1" x14ac:dyDescent="0.2">
      <c r="A11" s="76" t="s">
        <v>116</v>
      </c>
      <c r="B11" s="92" t="s">
        <v>229</v>
      </c>
      <c r="C11" s="92" t="s">
        <v>261</v>
      </c>
      <c r="D11" s="93" t="s">
        <v>265</v>
      </c>
      <c r="E11" s="93"/>
      <c r="F11" s="92" t="s">
        <v>290</v>
      </c>
      <c r="G11" s="428" t="s">
        <v>303</v>
      </c>
      <c r="H11" s="92" t="s">
        <v>335</v>
      </c>
      <c r="I11" s="193" t="s">
        <v>342</v>
      </c>
      <c r="J11" s="93"/>
      <c r="K11" s="93" t="s">
        <v>366</v>
      </c>
      <c r="L11" s="93"/>
      <c r="M11" s="92"/>
      <c r="N11" s="92"/>
      <c r="O11" s="93"/>
      <c r="P11" s="93"/>
      <c r="Q11" s="93"/>
      <c r="R11" s="92"/>
      <c r="S11" s="93"/>
      <c r="T11" s="420"/>
      <c r="U11" s="93"/>
      <c r="V11" s="92"/>
      <c r="W11" s="92"/>
      <c r="X11" s="93"/>
      <c r="Y11" s="93"/>
      <c r="Z11" s="93"/>
      <c r="AA11" s="93"/>
      <c r="AB11" s="93"/>
      <c r="AC11" s="93"/>
      <c r="AD11" s="93"/>
      <c r="AE11" s="93"/>
      <c r="AF11" s="93"/>
      <c r="AG11" s="93"/>
      <c r="GA11" s="96"/>
      <c r="GB11" s="96"/>
      <c r="GC11" s="96"/>
      <c r="GD11" s="96"/>
      <c r="GE11" s="96"/>
      <c r="GF11" s="96"/>
      <c r="GG11" s="96"/>
      <c r="GH11" s="96"/>
      <c r="GI11" s="96"/>
      <c r="GJ11" s="96"/>
      <c r="GK11" s="96"/>
      <c r="GL11" s="96"/>
      <c r="GM11" s="96"/>
      <c r="GN11" s="96"/>
      <c r="GO11" s="96"/>
      <c r="GP11" s="96"/>
      <c r="GQ11" s="96"/>
      <c r="GR11" s="96"/>
      <c r="GS11" s="96"/>
      <c r="GT11" s="96"/>
      <c r="GU11" s="96"/>
      <c r="GV11" s="96"/>
      <c r="GW11" s="96"/>
      <c r="GX11" s="96"/>
      <c r="GY11" s="96"/>
      <c r="GZ11" s="96"/>
    </row>
    <row r="12" spans="1:243" s="95" customFormat="1" ht="25.5" x14ac:dyDescent="0.2">
      <c r="A12" s="76" t="s">
        <v>117</v>
      </c>
      <c r="B12" s="92" t="s">
        <v>236</v>
      </c>
      <c r="C12" s="193"/>
      <c r="D12" s="93"/>
      <c r="E12" s="93"/>
      <c r="F12" s="92" t="s">
        <v>291</v>
      </c>
      <c r="G12" s="428" t="s">
        <v>304</v>
      </c>
      <c r="H12" s="92" t="s">
        <v>336</v>
      </c>
      <c r="I12" s="193" t="s">
        <v>343</v>
      </c>
      <c r="J12" s="93"/>
      <c r="K12" s="93" t="s">
        <v>367</v>
      </c>
      <c r="L12" s="93"/>
      <c r="M12" s="92"/>
      <c r="N12" s="92"/>
      <c r="O12" s="93"/>
      <c r="P12" s="93"/>
      <c r="Q12" s="93"/>
      <c r="R12" s="92"/>
      <c r="S12" s="93"/>
      <c r="T12" s="420"/>
      <c r="U12" s="93"/>
      <c r="V12" s="92"/>
      <c r="W12" s="193" t="s">
        <v>901</v>
      </c>
      <c r="X12" s="93" t="s">
        <v>941</v>
      </c>
      <c r="Y12" s="93"/>
      <c r="Z12" s="93"/>
      <c r="AA12" s="93"/>
      <c r="AB12" s="93"/>
      <c r="AC12" s="93"/>
      <c r="AD12" s="93"/>
      <c r="AE12" s="93"/>
      <c r="AF12" s="93"/>
      <c r="AG12" s="93"/>
      <c r="GA12" s="96"/>
      <c r="GB12" s="96"/>
      <c r="GC12" s="96"/>
      <c r="GD12" s="96"/>
      <c r="GE12" s="96"/>
      <c r="GF12" s="96"/>
      <c r="GG12" s="96"/>
      <c r="GH12" s="96"/>
      <c r="GI12" s="96"/>
      <c r="GJ12" s="96"/>
      <c r="GK12" s="96"/>
      <c r="GL12" s="96"/>
      <c r="GM12" s="96"/>
      <c r="GN12" s="96"/>
      <c r="GO12" s="96"/>
      <c r="GP12" s="96"/>
      <c r="GQ12" s="96"/>
      <c r="GR12" s="96"/>
      <c r="GS12" s="96"/>
      <c r="GT12" s="96"/>
      <c r="GU12" s="96"/>
      <c r="GV12" s="96"/>
      <c r="GW12" s="96"/>
      <c r="GX12" s="96"/>
      <c r="GY12" s="96"/>
      <c r="GZ12" s="96"/>
    </row>
    <row r="13" spans="1:243" s="88" customFormat="1" x14ac:dyDescent="0.2">
      <c r="A13" s="84" t="s">
        <v>118</v>
      </c>
      <c r="B13" s="195"/>
      <c r="C13" s="85"/>
      <c r="D13" s="86"/>
      <c r="E13" s="86"/>
      <c r="F13" s="87"/>
      <c r="G13" s="429"/>
      <c r="H13" s="85"/>
      <c r="I13" s="85"/>
      <c r="J13" s="86"/>
      <c r="K13" s="86"/>
      <c r="L13" s="86"/>
      <c r="M13" s="85"/>
      <c r="N13" s="85"/>
      <c r="O13" s="86"/>
      <c r="P13" s="86"/>
      <c r="Q13" s="86"/>
      <c r="R13" s="86"/>
      <c r="S13" s="86"/>
      <c r="T13" s="419"/>
      <c r="U13" s="86"/>
      <c r="V13" s="86"/>
      <c r="W13" s="85"/>
      <c r="X13" s="86"/>
      <c r="Y13" s="86"/>
      <c r="Z13" s="86"/>
      <c r="AA13" s="86"/>
      <c r="AB13" s="86"/>
      <c r="AC13" s="86"/>
      <c r="AD13" s="86"/>
      <c r="AE13" s="86"/>
      <c r="AF13" s="86"/>
      <c r="AG13" s="86"/>
      <c r="GA13" s="90"/>
      <c r="GB13" s="90"/>
      <c r="GC13" s="90"/>
      <c r="GD13" s="90"/>
      <c r="GE13" s="90"/>
      <c r="GF13" s="90"/>
      <c r="GG13" s="90"/>
      <c r="GH13" s="90"/>
      <c r="GI13" s="90"/>
      <c r="GJ13" s="90"/>
      <c r="GK13" s="90"/>
      <c r="GL13" s="90"/>
      <c r="GM13" s="90"/>
      <c r="GN13" s="90"/>
      <c r="GO13" s="90"/>
      <c r="GP13" s="90"/>
      <c r="GQ13" s="90"/>
      <c r="GR13" s="90"/>
      <c r="GS13" s="90"/>
      <c r="GT13" s="90"/>
      <c r="GU13" s="90"/>
      <c r="GV13" s="90"/>
      <c r="GW13" s="90"/>
      <c r="GX13" s="90"/>
      <c r="GY13" s="90"/>
      <c r="GZ13" s="90"/>
    </row>
    <row r="14" spans="1:243" s="88" customFormat="1" x14ac:dyDescent="0.2">
      <c r="A14" s="84" t="s">
        <v>119</v>
      </c>
      <c r="B14" s="195"/>
      <c r="C14" s="85"/>
      <c r="D14" s="86"/>
      <c r="E14" s="86"/>
      <c r="F14" s="87"/>
      <c r="G14" s="419"/>
      <c r="H14" s="85"/>
      <c r="I14" s="85"/>
      <c r="J14" s="86"/>
      <c r="K14" s="86"/>
      <c r="L14" s="86"/>
      <c r="M14" s="85"/>
      <c r="N14" s="85"/>
      <c r="O14" s="86"/>
      <c r="P14" s="86"/>
      <c r="Q14" s="86"/>
      <c r="R14" s="86"/>
      <c r="S14" s="86"/>
      <c r="T14" s="419"/>
      <c r="U14" s="86"/>
      <c r="V14" s="86"/>
      <c r="W14" s="85"/>
      <c r="X14" s="86"/>
      <c r="Y14" s="86"/>
      <c r="Z14" s="86"/>
      <c r="AA14" s="86"/>
      <c r="AB14" s="86"/>
      <c r="AC14" s="86"/>
      <c r="AD14" s="86"/>
      <c r="AE14" s="86"/>
      <c r="AF14" s="86"/>
      <c r="AG14" s="86"/>
      <c r="GA14" s="90"/>
      <c r="GB14" s="90"/>
      <c r="GC14" s="90"/>
      <c r="GD14" s="90"/>
      <c r="GE14" s="90"/>
      <c r="GF14" s="90"/>
      <c r="GG14" s="90"/>
      <c r="GH14" s="90"/>
      <c r="GI14" s="90"/>
      <c r="GJ14" s="90"/>
      <c r="GK14" s="90"/>
      <c r="GL14" s="90"/>
      <c r="GM14" s="90"/>
      <c r="GN14" s="90"/>
      <c r="GO14" s="90"/>
      <c r="GP14" s="90"/>
      <c r="GQ14" s="90"/>
      <c r="GR14" s="90"/>
      <c r="GS14" s="90"/>
      <c r="GT14" s="90"/>
      <c r="GU14" s="90"/>
      <c r="GV14" s="90"/>
      <c r="GW14" s="90"/>
      <c r="GX14" s="90"/>
      <c r="GY14" s="90"/>
      <c r="GZ14" s="90"/>
    </row>
    <row r="15" spans="1:243" s="80" customFormat="1" x14ac:dyDescent="0.2">
      <c r="A15" s="76" t="s">
        <v>120</v>
      </c>
      <c r="B15" s="196"/>
      <c r="C15" s="77"/>
      <c r="D15" s="78"/>
      <c r="E15" s="78"/>
      <c r="F15" s="79"/>
      <c r="G15" s="419"/>
      <c r="H15" s="77"/>
      <c r="I15" s="77"/>
      <c r="J15" s="78"/>
      <c r="K15" s="78"/>
      <c r="L15" s="78"/>
      <c r="M15" s="77"/>
      <c r="N15" s="77"/>
      <c r="O15" s="78"/>
      <c r="P15" s="78"/>
      <c r="Q15" s="78"/>
      <c r="R15" s="78"/>
      <c r="S15" s="78"/>
      <c r="T15" s="419"/>
      <c r="U15" s="78"/>
      <c r="V15" s="78"/>
      <c r="W15" s="77"/>
      <c r="X15" s="78"/>
      <c r="Y15" s="78"/>
      <c r="Z15" s="78"/>
      <c r="AA15" s="78"/>
      <c r="AB15" s="78"/>
      <c r="AC15" s="78"/>
      <c r="AD15" s="78"/>
      <c r="AE15" s="78"/>
      <c r="AF15" s="78"/>
      <c r="AG15" s="78"/>
      <c r="GA15" s="81"/>
      <c r="GB15" s="81"/>
      <c r="GC15" s="81"/>
      <c r="GD15" s="81"/>
      <c r="GE15" s="81"/>
      <c r="GF15" s="81"/>
      <c r="GG15" s="81"/>
      <c r="GH15" s="81"/>
      <c r="GI15" s="81"/>
      <c r="GJ15" s="81"/>
      <c r="GK15" s="81"/>
      <c r="GL15" s="81"/>
      <c r="GM15" s="81"/>
      <c r="GN15" s="81"/>
      <c r="GO15" s="81"/>
      <c r="GP15" s="81"/>
      <c r="GQ15" s="81"/>
      <c r="GR15" s="81"/>
      <c r="GS15" s="81"/>
      <c r="GT15" s="81"/>
      <c r="GU15" s="81"/>
      <c r="GV15" s="81"/>
      <c r="GW15" s="81"/>
      <c r="GX15" s="81"/>
      <c r="GY15" s="81"/>
      <c r="GZ15" s="81"/>
    </row>
    <row r="16" spans="1:243" s="95" customFormat="1" x14ac:dyDescent="0.2">
      <c r="A16" s="76" t="s">
        <v>121</v>
      </c>
      <c r="B16" s="192"/>
      <c r="C16" s="92"/>
      <c r="D16" s="93"/>
      <c r="E16" s="93"/>
      <c r="F16" s="94"/>
      <c r="G16" s="420"/>
      <c r="H16" s="92"/>
      <c r="I16" s="92"/>
      <c r="J16" s="93"/>
      <c r="K16" s="93"/>
      <c r="L16" s="93"/>
      <c r="M16" s="92"/>
      <c r="N16" s="92"/>
      <c r="O16" s="93"/>
      <c r="P16" s="93"/>
      <c r="Q16" s="93"/>
      <c r="R16" s="93"/>
      <c r="S16" s="93"/>
      <c r="T16" s="420"/>
      <c r="U16" s="93"/>
      <c r="V16" s="93"/>
      <c r="W16" s="92"/>
      <c r="X16" s="93"/>
      <c r="Y16" s="93"/>
      <c r="Z16" s="93"/>
      <c r="AA16" s="93"/>
      <c r="AB16" s="93"/>
      <c r="AC16" s="93"/>
      <c r="AD16" s="93"/>
      <c r="AE16" s="93"/>
      <c r="AF16" s="93"/>
      <c r="AG16" s="93"/>
      <c r="CA16" s="80"/>
      <c r="GA16" s="96"/>
      <c r="GB16" s="96"/>
      <c r="GC16" s="96"/>
      <c r="GD16" s="96"/>
      <c r="GE16" s="96"/>
      <c r="GF16" s="96"/>
      <c r="GG16" s="96"/>
      <c r="GH16" s="96"/>
      <c r="GI16" s="96"/>
      <c r="GJ16" s="96"/>
      <c r="GK16" s="96"/>
      <c r="GL16" s="96"/>
      <c r="GM16" s="96"/>
      <c r="GN16" s="96"/>
      <c r="GO16" s="96"/>
      <c r="GP16" s="96"/>
      <c r="GQ16" s="96"/>
      <c r="GR16" s="96"/>
      <c r="GS16" s="96"/>
      <c r="GT16" s="96"/>
      <c r="GU16" s="96"/>
      <c r="GV16" s="96"/>
      <c r="GW16" s="96"/>
      <c r="GX16" s="96"/>
      <c r="GY16" s="96"/>
      <c r="GZ16" s="96"/>
    </row>
    <row r="17" spans="1:208" s="101" customFormat="1" x14ac:dyDescent="0.2">
      <c r="A17" s="84" t="s">
        <v>122</v>
      </c>
      <c r="B17" s="201"/>
      <c r="C17" s="98"/>
      <c r="D17" s="99"/>
      <c r="E17" s="99"/>
      <c r="F17" s="100"/>
      <c r="G17" s="420"/>
      <c r="H17" s="98"/>
      <c r="I17" s="98"/>
      <c r="J17" s="99"/>
      <c r="K17" s="99"/>
      <c r="L17" s="99"/>
      <c r="M17" s="98"/>
      <c r="N17" s="98"/>
      <c r="O17" s="99"/>
      <c r="P17" s="99"/>
      <c r="Q17" s="99"/>
      <c r="R17" s="99"/>
      <c r="S17" s="99"/>
      <c r="T17" s="420"/>
      <c r="U17" s="99"/>
      <c r="V17" s="99"/>
      <c r="W17" s="98"/>
      <c r="X17" s="99"/>
      <c r="Y17" s="99"/>
      <c r="Z17" s="99"/>
      <c r="AA17" s="99"/>
      <c r="AB17" s="99"/>
      <c r="AC17" s="99"/>
      <c r="AD17" s="99"/>
      <c r="AE17" s="99"/>
      <c r="AF17" s="99"/>
      <c r="AG17" s="99"/>
      <c r="GA17" s="102"/>
      <c r="GB17" s="102"/>
      <c r="GC17" s="102"/>
      <c r="GD17" s="102"/>
      <c r="GE17" s="102"/>
      <c r="GF17" s="102"/>
      <c r="GG17" s="102"/>
      <c r="GH17" s="102"/>
      <c r="GI17" s="102"/>
      <c r="GJ17" s="102"/>
      <c r="GK17" s="102"/>
      <c r="GL17" s="102"/>
      <c r="GM17" s="102"/>
      <c r="GN17" s="102"/>
      <c r="GO17" s="102"/>
      <c r="GP17" s="102"/>
      <c r="GQ17" s="102"/>
      <c r="GR17" s="102"/>
      <c r="GS17" s="102"/>
      <c r="GT17" s="102"/>
      <c r="GU17" s="102"/>
      <c r="GV17" s="102"/>
      <c r="GW17" s="102"/>
      <c r="GX17" s="102"/>
      <c r="GY17" s="102"/>
      <c r="GZ17" s="102"/>
    </row>
    <row r="18" spans="1:208" s="101" customFormat="1" x14ac:dyDescent="0.2">
      <c r="A18" s="84" t="s">
        <v>123</v>
      </c>
      <c r="B18" s="201"/>
      <c r="C18" s="99" t="s">
        <v>255</v>
      </c>
      <c r="D18" s="99"/>
      <c r="E18" s="99"/>
      <c r="F18" s="100"/>
      <c r="G18" s="420"/>
      <c r="H18" s="98"/>
      <c r="I18" s="98"/>
      <c r="J18" s="99"/>
      <c r="K18" s="99"/>
      <c r="L18" s="99"/>
      <c r="M18" s="98"/>
      <c r="N18" s="98"/>
      <c r="O18" s="99"/>
      <c r="P18" s="99"/>
      <c r="Q18" s="99"/>
      <c r="R18" s="99"/>
      <c r="S18" s="99"/>
      <c r="T18" s="420"/>
      <c r="U18" s="99"/>
      <c r="V18" s="103"/>
      <c r="W18" s="98"/>
      <c r="X18" s="99"/>
      <c r="Y18" s="99"/>
      <c r="Z18" s="99"/>
      <c r="AA18" s="99"/>
      <c r="AB18" s="99"/>
      <c r="AC18" s="99"/>
      <c r="AD18" s="99"/>
      <c r="AE18" s="99"/>
      <c r="AF18" s="99"/>
      <c r="AG18" s="99"/>
      <c r="GA18" s="102"/>
      <c r="GB18" s="102"/>
      <c r="GC18" s="102"/>
      <c r="GD18" s="102"/>
      <c r="GE18" s="102"/>
      <c r="GF18" s="102"/>
      <c r="GG18" s="102"/>
      <c r="GH18" s="102"/>
      <c r="GI18" s="102"/>
      <c r="GJ18" s="102"/>
      <c r="GK18" s="102"/>
      <c r="GL18" s="102"/>
      <c r="GM18" s="102"/>
      <c r="GN18" s="102"/>
      <c r="GO18" s="102"/>
      <c r="GP18" s="102"/>
      <c r="GQ18" s="102"/>
      <c r="GR18" s="102"/>
      <c r="GS18" s="102"/>
      <c r="GT18" s="102"/>
      <c r="GU18" s="102"/>
      <c r="GV18" s="102"/>
      <c r="GW18" s="102"/>
      <c r="GX18" s="102"/>
      <c r="GY18" s="102"/>
      <c r="GZ18" s="102"/>
    </row>
    <row r="19" spans="1:208" s="80" customFormat="1" x14ac:dyDescent="0.2">
      <c r="A19" s="76" t="s">
        <v>17</v>
      </c>
      <c r="B19" s="196"/>
      <c r="C19" s="78"/>
      <c r="D19" s="78"/>
      <c r="E19" s="78"/>
      <c r="F19" s="79"/>
      <c r="G19" s="419"/>
      <c r="H19" s="77"/>
      <c r="I19" s="77"/>
      <c r="J19" s="78"/>
      <c r="K19" s="78"/>
      <c r="L19" s="78"/>
      <c r="M19" s="77"/>
      <c r="N19" s="77"/>
      <c r="O19" s="78"/>
      <c r="P19" s="78"/>
      <c r="Q19" s="78"/>
      <c r="R19" s="78"/>
      <c r="S19" s="78"/>
      <c r="T19" s="419"/>
      <c r="U19" s="78"/>
      <c r="V19" s="78"/>
      <c r="W19" s="77"/>
      <c r="X19" s="78"/>
      <c r="Y19" s="78"/>
      <c r="Z19" s="78"/>
      <c r="AA19" s="78"/>
      <c r="AB19" s="78"/>
      <c r="AC19" s="78"/>
      <c r="AD19" s="78"/>
      <c r="AE19" s="78"/>
      <c r="AF19" s="78"/>
      <c r="AG19" s="78"/>
      <c r="GA19" s="81"/>
      <c r="GB19" s="81"/>
      <c r="GC19" s="81"/>
      <c r="GD19" s="81"/>
      <c r="GE19" s="81"/>
      <c r="GF19" s="81"/>
      <c r="GG19" s="81"/>
      <c r="GH19" s="81"/>
      <c r="GI19" s="81"/>
      <c r="GJ19" s="81"/>
      <c r="GK19" s="81"/>
      <c r="GL19" s="81"/>
      <c r="GM19" s="81"/>
      <c r="GN19" s="81"/>
      <c r="GO19" s="81"/>
      <c r="GP19" s="81"/>
      <c r="GQ19" s="81"/>
      <c r="GR19" s="81"/>
      <c r="GS19" s="81"/>
      <c r="GT19" s="81"/>
      <c r="GU19" s="81"/>
      <c r="GV19" s="81"/>
      <c r="GW19" s="81"/>
      <c r="GX19" s="81"/>
      <c r="GY19" s="81"/>
      <c r="GZ19" s="81"/>
    </row>
    <row r="20" spans="1:208" s="107" customFormat="1" ht="38.25" x14ac:dyDescent="0.25">
      <c r="A20" s="104" t="s">
        <v>124</v>
      </c>
      <c r="B20" s="98" t="s">
        <v>225</v>
      </c>
      <c r="C20" s="99" t="s">
        <v>256</v>
      </c>
      <c r="D20" s="99" t="s">
        <v>266</v>
      </c>
      <c r="E20" s="99" t="s">
        <v>281</v>
      </c>
      <c r="F20" s="336" t="s">
        <v>292</v>
      </c>
      <c r="G20" s="430" t="s">
        <v>305</v>
      </c>
      <c r="H20" s="336" t="s">
        <v>337</v>
      </c>
      <c r="I20" s="99" t="s">
        <v>344</v>
      </c>
      <c r="J20" s="336" t="s">
        <v>349</v>
      </c>
      <c r="K20" s="99" t="s">
        <v>368</v>
      </c>
      <c r="L20" s="99" t="s">
        <v>381</v>
      </c>
      <c r="M20" s="99" t="s">
        <v>421</v>
      </c>
      <c r="N20" s="99" t="s">
        <v>653</v>
      </c>
      <c r="O20" s="108"/>
      <c r="P20" s="99" t="s">
        <v>707</v>
      </c>
      <c r="Q20" s="349" t="s">
        <v>763</v>
      </c>
      <c r="S20" s="105"/>
      <c r="T20" s="421" t="s">
        <v>823</v>
      </c>
      <c r="U20" s="424" t="s">
        <v>852</v>
      </c>
      <c r="V20" s="105"/>
      <c r="W20" s="99"/>
      <c r="X20" s="444" t="s">
        <v>943</v>
      </c>
      <c r="Y20" s="108"/>
      <c r="Z20" s="108"/>
      <c r="AA20" s="108"/>
      <c r="AB20" s="108"/>
      <c r="AC20" s="108"/>
      <c r="AD20" s="108"/>
      <c r="AE20" s="108"/>
      <c r="AF20" s="108"/>
      <c r="AG20" s="108"/>
      <c r="AH20" s="108"/>
      <c r="AI20" s="108"/>
      <c r="AJ20" s="108"/>
      <c r="AK20" s="108"/>
      <c r="AL20" s="108"/>
      <c r="AM20" s="108"/>
      <c r="AN20" s="108"/>
      <c r="AO20" s="108"/>
      <c r="AP20" s="108"/>
      <c r="AQ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V20" s="108"/>
      <c r="BW20" s="108"/>
      <c r="BX20" s="108"/>
      <c r="BY20" s="108"/>
      <c r="BZ20" s="108"/>
      <c r="CA20" s="108"/>
      <c r="CB20" s="108"/>
      <c r="CC20" s="108"/>
      <c r="CD20" s="108"/>
      <c r="CE20" s="108"/>
      <c r="CF20" s="108"/>
      <c r="CG20" s="108"/>
      <c r="CI20" s="108"/>
      <c r="CJ20" s="108"/>
      <c r="CL20" s="108"/>
      <c r="CM20" s="108"/>
      <c r="CN20" s="108"/>
      <c r="CO20" s="108"/>
      <c r="CP20" s="108"/>
      <c r="CQ20" s="108"/>
      <c r="CR20" s="108"/>
      <c r="CS20" s="108"/>
      <c r="CU20" s="108"/>
      <c r="CV20" s="108"/>
      <c r="CW20" s="108"/>
      <c r="CX20" s="108"/>
      <c r="CY20" s="108"/>
      <c r="CZ20" s="108"/>
      <c r="DA20" s="108"/>
      <c r="DB20" s="108"/>
      <c r="DC20" s="108"/>
      <c r="DD20" s="108"/>
      <c r="DE20" s="108"/>
      <c r="DF20" s="108"/>
      <c r="DG20" s="108"/>
      <c r="DH20" s="108"/>
      <c r="DI20" s="108"/>
      <c r="DJ20" s="108"/>
      <c r="DK20" s="108"/>
      <c r="DL20" s="108"/>
      <c r="DM20" s="108"/>
      <c r="DN20" s="108"/>
      <c r="DO20" s="108"/>
      <c r="DP20" s="108"/>
      <c r="DQ20" s="108"/>
      <c r="DR20" s="108"/>
      <c r="GA20" s="106"/>
      <c r="GC20" s="106"/>
      <c r="GG20" s="106"/>
      <c r="GH20" s="106"/>
      <c r="GI20" s="106"/>
      <c r="GK20" s="106"/>
      <c r="GL20" s="106"/>
      <c r="GM20" s="106"/>
      <c r="GN20" s="106"/>
      <c r="GO20" s="106"/>
      <c r="GP20" s="106"/>
      <c r="GQ20" s="106"/>
      <c r="GR20" s="106"/>
      <c r="GS20" s="106"/>
      <c r="GT20" s="106"/>
      <c r="GU20" s="106"/>
      <c r="GV20" s="106"/>
      <c r="GW20" s="106"/>
      <c r="GX20" s="106"/>
      <c r="GY20" s="106"/>
      <c r="GZ20" s="106"/>
    </row>
    <row r="21" spans="1:208" s="88" customFormat="1" x14ac:dyDescent="0.2">
      <c r="A21" s="84" t="s">
        <v>125</v>
      </c>
      <c r="B21" s="195" t="s">
        <v>100</v>
      </c>
      <c r="C21" s="85" t="s">
        <v>94</v>
      </c>
      <c r="D21" s="86" t="s">
        <v>13</v>
      </c>
      <c r="E21" s="86" t="s">
        <v>94</v>
      </c>
      <c r="F21" s="87" t="s">
        <v>13</v>
      </c>
      <c r="G21" s="419" t="s">
        <v>94</v>
      </c>
      <c r="H21" s="85" t="s">
        <v>97</v>
      </c>
      <c r="I21" s="85" t="s">
        <v>94</v>
      </c>
      <c r="J21" s="86" t="s">
        <v>13</v>
      </c>
      <c r="K21" s="86" t="s">
        <v>100</v>
      </c>
      <c r="L21" s="86" t="s">
        <v>94</v>
      </c>
      <c r="M21" s="85" t="s">
        <v>94</v>
      </c>
      <c r="N21" s="85" t="s">
        <v>97</v>
      </c>
      <c r="O21" s="86"/>
      <c r="P21" s="86"/>
      <c r="Q21" s="86"/>
      <c r="R21" s="86"/>
      <c r="S21" s="86"/>
      <c r="T21" s="419"/>
      <c r="U21" s="86"/>
      <c r="V21" s="86"/>
      <c r="W21" s="85"/>
      <c r="X21" s="86" t="s">
        <v>94</v>
      </c>
      <c r="Y21" s="86"/>
      <c r="Z21" s="86"/>
      <c r="AA21" s="86"/>
      <c r="AB21" s="86"/>
      <c r="AC21" s="86"/>
      <c r="AD21" s="86"/>
      <c r="AE21" s="86"/>
      <c r="AF21" s="86"/>
      <c r="AG21" s="86"/>
      <c r="GA21" s="90"/>
      <c r="GB21" s="90"/>
      <c r="GC21" s="90"/>
      <c r="GD21" s="90"/>
      <c r="GE21" s="90"/>
      <c r="GF21" s="90"/>
      <c r="GG21" s="90"/>
      <c r="GH21" s="90"/>
      <c r="GI21" s="90"/>
      <c r="GJ21" s="90"/>
      <c r="GK21" s="90"/>
      <c r="GL21" s="90"/>
      <c r="GM21" s="90"/>
      <c r="GN21" s="90"/>
      <c r="GO21" s="90"/>
      <c r="GP21" s="90"/>
      <c r="GQ21" s="90"/>
      <c r="GR21" s="90"/>
      <c r="GS21" s="90"/>
      <c r="GT21" s="90"/>
      <c r="GU21" s="90"/>
      <c r="GV21" s="90"/>
      <c r="GW21" s="90"/>
      <c r="GX21" s="90"/>
      <c r="GY21" s="90"/>
      <c r="GZ21" s="90"/>
    </row>
    <row r="22" spans="1:208" s="101" customFormat="1" ht="25.5" x14ac:dyDescent="0.2">
      <c r="A22" s="84" t="s">
        <v>126</v>
      </c>
      <c r="B22" s="195" t="s">
        <v>233</v>
      </c>
      <c r="C22" s="98" t="s">
        <v>257</v>
      </c>
      <c r="D22" s="98"/>
      <c r="E22" s="98" t="s">
        <v>282</v>
      </c>
      <c r="F22" s="99" t="s">
        <v>293</v>
      </c>
      <c r="G22" s="420"/>
      <c r="H22" s="98" t="s">
        <v>338</v>
      </c>
      <c r="I22" s="98"/>
      <c r="J22" s="223" t="s">
        <v>350</v>
      </c>
      <c r="K22" s="99" t="s">
        <v>369</v>
      </c>
      <c r="M22" s="98" t="s">
        <v>644</v>
      </c>
      <c r="N22" s="98" t="s">
        <v>651</v>
      </c>
      <c r="O22" s="99"/>
      <c r="P22" s="98"/>
      <c r="Q22" s="99"/>
      <c r="R22" s="98"/>
      <c r="S22" s="99"/>
      <c r="T22" s="420"/>
      <c r="U22" s="99"/>
      <c r="V22" s="98"/>
      <c r="W22" s="98"/>
      <c r="X22" s="99"/>
      <c r="Y22" s="99"/>
      <c r="Z22" s="99"/>
      <c r="AA22" s="99"/>
      <c r="AB22" s="99"/>
      <c r="AC22" s="99"/>
      <c r="AD22" s="99"/>
      <c r="AE22" s="99"/>
      <c r="AF22" s="99"/>
      <c r="AG22" s="99"/>
      <c r="GA22" s="102"/>
      <c r="GB22" s="102"/>
      <c r="GC22" s="102"/>
      <c r="GD22" s="102"/>
      <c r="GE22" s="102"/>
      <c r="GF22" s="102"/>
      <c r="GG22" s="102"/>
      <c r="GH22" s="102"/>
      <c r="GI22" s="102"/>
      <c r="GJ22" s="102"/>
      <c r="GK22" s="102"/>
      <c r="GL22" s="102"/>
      <c r="GM22" s="102"/>
      <c r="GN22" s="102"/>
      <c r="GO22" s="102"/>
      <c r="GP22" s="102"/>
      <c r="GQ22" s="102"/>
      <c r="GR22" s="102"/>
      <c r="GS22" s="102"/>
      <c r="GT22" s="102"/>
      <c r="GU22" s="102"/>
      <c r="GV22" s="102"/>
      <c r="GW22" s="102"/>
      <c r="GX22" s="102"/>
      <c r="GY22" s="102"/>
      <c r="GZ22" s="102"/>
    </row>
    <row r="23" spans="1:208" s="95" customFormat="1" ht="25.5" x14ac:dyDescent="0.2">
      <c r="A23" s="76" t="s">
        <v>127</v>
      </c>
      <c r="B23" s="196" t="s">
        <v>226</v>
      </c>
      <c r="C23" s="93" t="s">
        <v>226</v>
      </c>
      <c r="D23" s="78" t="s">
        <v>226</v>
      </c>
      <c r="E23" s="92" t="s">
        <v>226</v>
      </c>
      <c r="F23" s="93" t="s">
        <v>226</v>
      </c>
      <c r="G23" s="420" t="s">
        <v>226</v>
      </c>
      <c r="H23" s="92" t="s">
        <v>226</v>
      </c>
      <c r="I23" s="92" t="s">
        <v>226</v>
      </c>
      <c r="J23" s="221" t="s">
        <v>226</v>
      </c>
      <c r="K23" s="93" t="s">
        <v>226</v>
      </c>
      <c r="L23" s="93" t="s">
        <v>226</v>
      </c>
      <c r="M23" s="93" t="s">
        <v>258</v>
      </c>
      <c r="N23" s="93" t="s">
        <v>15</v>
      </c>
      <c r="O23" s="93"/>
      <c r="P23" s="78"/>
      <c r="Q23" s="93"/>
      <c r="R23" s="77"/>
      <c r="S23" s="93"/>
      <c r="T23" s="420"/>
      <c r="U23" s="93"/>
      <c r="V23" s="93"/>
      <c r="W23" s="193" t="s">
        <v>226</v>
      </c>
      <c r="X23" s="93" t="s">
        <v>226</v>
      </c>
      <c r="Y23" s="93"/>
      <c r="Z23" s="93"/>
      <c r="AA23" s="93"/>
      <c r="AB23" s="93"/>
      <c r="AC23" s="93"/>
      <c r="AD23" s="93"/>
      <c r="AE23" s="93"/>
      <c r="AF23" s="93"/>
      <c r="AG23" s="93"/>
      <c r="GA23" s="96"/>
      <c r="GB23" s="96"/>
      <c r="GC23" s="96"/>
      <c r="GD23" s="96"/>
      <c r="GE23" s="96"/>
      <c r="GF23" s="96"/>
      <c r="GG23" s="96"/>
      <c r="GH23" s="96"/>
      <c r="GI23" s="96"/>
      <c r="GJ23" s="96"/>
      <c r="GK23" s="96"/>
      <c r="GL23" s="96"/>
      <c r="GM23" s="96"/>
      <c r="GN23" s="96"/>
      <c r="GO23" s="96"/>
      <c r="GP23" s="96"/>
      <c r="GQ23" s="96"/>
      <c r="GR23" s="96"/>
      <c r="GS23" s="96"/>
      <c r="GT23" s="96"/>
      <c r="GU23" s="96"/>
      <c r="GV23" s="96"/>
      <c r="GW23" s="96"/>
      <c r="GX23" s="96"/>
      <c r="GY23" s="96"/>
      <c r="GZ23" s="96"/>
    </row>
    <row r="24" spans="1:208" s="80" customFormat="1" x14ac:dyDescent="0.2">
      <c r="A24" s="76" t="s">
        <v>128</v>
      </c>
      <c r="B24" s="196" t="s">
        <v>227</v>
      </c>
      <c r="C24" s="78" t="s">
        <v>258</v>
      </c>
      <c r="D24" s="77"/>
      <c r="E24" s="77"/>
      <c r="F24" s="78"/>
      <c r="G24" s="419"/>
      <c r="H24" s="77"/>
      <c r="I24" s="77"/>
      <c r="J24" s="221"/>
      <c r="K24" s="78"/>
      <c r="L24" s="77"/>
      <c r="M24" s="77"/>
      <c r="N24" s="77"/>
      <c r="O24" s="78"/>
      <c r="P24" s="77"/>
      <c r="Q24" s="78"/>
      <c r="R24" s="77"/>
      <c r="S24" s="78"/>
      <c r="T24" s="419"/>
      <c r="U24" s="78"/>
      <c r="V24" s="78"/>
      <c r="W24" s="191"/>
      <c r="X24" s="78"/>
      <c r="Y24" s="78"/>
      <c r="Z24" s="78"/>
      <c r="AA24" s="78"/>
      <c r="AB24" s="78"/>
      <c r="AC24" s="78"/>
      <c r="AD24" s="78"/>
      <c r="AE24" s="78"/>
      <c r="AF24" s="78"/>
      <c r="AG24" s="78"/>
      <c r="GA24" s="81"/>
      <c r="GB24" s="81"/>
      <c r="GC24" s="81"/>
      <c r="GD24" s="81"/>
      <c r="GE24" s="81"/>
      <c r="GF24" s="81"/>
      <c r="GG24" s="81"/>
      <c r="GH24" s="81"/>
      <c r="GI24" s="81"/>
      <c r="GJ24" s="81"/>
      <c r="GK24" s="81"/>
      <c r="GL24" s="81"/>
      <c r="GM24" s="81"/>
      <c r="GN24" s="81"/>
      <c r="GO24" s="81"/>
      <c r="GP24" s="81"/>
      <c r="GQ24" s="81"/>
      <c r="GR24" s="81"/>
      <c r="GS24" s="81"/>
      <c r="GT24" s="81"/>
      <c r="GU24" s="81"/>
      <c r="GV24" s="81"/>
      <c r="GW24" s="81"/>
      <c r="GX24" s="81"/>
      <c r="GY24" s="81"/>
      <c r="GZ24" s="81"/>
    </row>
    <row r="25" spans="1:208" s="88" customFormat="1" ht="103.5" customHeight="1" x14ac:dyDescent="0.2">
      <c r="A25" s="89" t="s">
        <v>129</v>
      </c>
      <c r="B25" s="110" t="s">
        <v>228</v>
      </c>
      <c r="C25" s="85" t="s">
        <v>259</v>
      </c>
      <c r="D25" s="85" t="s">
        <v>267</v>
      </c>
      <c r="E25" s="85" t="s">
        <v>283</v>
      </c>
      <c r="F25" s="85" t="s">
        <v>294</v>
      </c>
      <c r="G25" s="431" t="s">
        <v>306</v>
      </c>
      <c r="H25" s="110" t="s">
        <v>339</v>
      </c>
      <c r="I25" s="195" t="s">
        <v>345</v>
      </c>
      <c r="J25" s="109" t="s">
        <v>351</v>
      </c>
      <c r="K25" s="85" t="s">
        <v>370</v>
      </c>
      <c r="L25" s="85" t="s">
        <v>382</v>
      </c>
      <c r="M25" s="85" t="s">
        <v>645</v>
      </c>
      <c r="N25" s="85" t="s">
        <v>947</v>
      </c>
      <c r="O25" s="85"/>
      <c r="P25" s="85" t="s">
        <v>713</v>
      </c>
      <c r="Q25" s="85"/>
      <c r="R25" s="85"/>
      <c r="S25" s="85"/>
      <c r="T25" s="419"/>
      <c r="U25" s="85"/>
      <c r="V25" s="85" t="s">
        <v>859</v>
      </c>
      <c r="W25" s="195" t="s">
        <v>902</v>
      </c>
      <c r="X25" s="85" t="s">
        <v>946</v>
      </c>
      <c r="Y25" s="85" t="s">
        <v>953</v>
      </c>
      <c r="Z25" s="111"/>
      <c r="AA25" s="111"/>
      <c r="AB25" s="85"/>
      <c r="AC25" s="111"/>
      <c r="AD25" s="111"/>
      <c r="AE25" s="111"/>
      <c r="AF25" s="111"/>
      <c r="AG25" s="111"/>
      <c r="AH25" s="89"/>
      <c r="AI25" s="112"/>
      <c r="AJ25" s="112"/>
      <c r="AK25" s="112"/>
      <c r="AL25" s="112"/>
      <c r="AM25" s="112"/>
      <c r="AN25" s="112"/>
      <c r="AO25" s="112"/>
      <c r="AP25" s="112"/>
      <c r="AQ25" s="112"/>
      <c r="AS25" s="89"/>
      <c r="AT25" s="89"/>
      <c r="AU25" s="89"/>
      <c r="AV25" s="89"/>
      <c r="BJ25" s="112"/>
      <c r="DQ25" s="89"/>
      <c r="DR25" s="89"/>
      <c r="GA25" s="90"/>
      <c r="GB25" s="90"/>
      <c r="GC25" s="90"/>
      <c r="GD25" s="90"/>
      <c r="GE25" s="90"/>
      <c r="GF25" s="90"/>
      <c r="GG25" s="90"/>
      <c r="GH25" s="90"/>
      <c r="GI25" s="91"/>
      <c r="GJ25" s="90"/>
      <c r="GK25" s="90"/>
      <c r="GL25" s="90"/>
      <c r="GM25" s="90"/>
      <c r="GN25" s="90"/>
      <c r="GO25" s="90"/>
      <c r="GP25" s="90"/>
      <c r="GQ25" s="90"/>
      <c r="GR25" s="90"/>
      <c r="GS25" s="90"/>
      <c r="GT25" s="90"/>
      <c r="GU25" s="90"/>
      <c r="GV25" s="90"/>
      <c r="GW25" s="90"/>
      <c r="GX25" s="90"/>
      <c r="GY25" s="113"/>
      <c r="GZ25" s="113"/>
    </row>
    <row r="26" spans="1:208" s="88" customFormat="1" ht="76.5" x14ac:dyDescent="0.25">
      <c r="A26" s="84" t="s">
        <v>130</v>
      </c>
      <c r="B26" s="85" t="s">
        <v>406</v>
      </c>
      <c r="C26" s="86" t="s">
        <v>260</v>
      </c>
      <c r="D26" s="86" t="s">
        <v>268</v>
      </c>
      <c r="E26" s="85" t="s">
        <v>284</v>
      </c>
      <c r="F26" s="85" t="s">
        <v>295</v>
      </c>
      <c r="G26" s="426" t="s">
        <v>307</v>
      </c>
      <c r="H26" s="85" t="s">
        <v>407</v>
      </c>
      <c r="I26" s="194" t="s">
        <v>346</v>
      </c>
      <c r="J26" s="87" t="s">
        <v>352</v>
      </c>
      <c r="K26" s="86" t="s">
        <v>371</v>
      </c>
      <c r="L26" s="86" t="s">
        <v>383</v>
      </c>
      <c r="M26" s="85" t="s">
        <v>645</v>
      </c>
      <c r="N26" s="85" t="s">
        <v>654</v>
      </c>
      <c r="O26" s="86" t="s">
        <v>708</v>
      </c>
      <c r="P26" s="86" t="s">
        <v>714</v>
      </c>
      <c r="Q26" s="86" t="s">
        <v>766</v>
      </c>
      <c r="R26" s="85" t="s">
        <v>765</v>
      </c>
      <c r="S26" s="86" t="s">
        <v>822</v>
      </c>
      <c r="T26" s="419" t="s">
        <v>827</v>
      </c>
      <c r="U26" s="86" t="s">
        <v>828</v>
      </c>
      <c r="V26" s="85" t="s">
        <v>677</v>
      </c>
      <c r="W26" s="194" t="s">
        <v>903</v>
      </c>
      <c r="X26" s="86" t="s">
        <v>942</v>
      </c>
      <c r="Y26" s="86" t="s">
        <v>952</v>
      </c>
      <c r="Z26" s="86"/>
      <c r="AA26" s="86"/>
      <c r="AB26" s="86"/>
      <c r="AC26" s="86"/>
      <c r="AD26" s="86"/>
      <c r="AE26" s="86"/>
      <c r="AF26" s="86"/>
      <c r="AG26" s="86"/>
    </row>
    <row r="27" spans="1:208" s="114" customFormat="1" ht="12.75" customHeight="1" x14ac:dyDescent="0.25">
      <c r="B27" s="115"/>
      <c r="C27" s="115"/>
      <c r="D27" s="115"/>
      <c r="E27" s="115"/>
      <c r="F27" s="115"/>
      <c r="G27" s="115" t="s">
        <v>904</v>
      </c>
      <c r="H27" s="115"/>
      <c r="I27" s="115"/>
      <c r="K27" s="115"/>
      <c r="L27" s="115"/>
      <c r="M27" s="115"/>
      <c r="N27" s="115"/>
      <c r="O27" s="115"/>
      <c r="P27" s="115"/>
      <c r="Q27" s="115"/>
      <c r="R27" s="115"/>
      <c r="S27" s="115"/>
      <c r="T27" s="415" t="s">
        <v>890</v>
      </c>
      <c r="U27" s="115"/>
      <c r="V27" s="115"/>
      <c r="W27" s="115"/>
      <c r="X27" s="115"/>
      <c r="Y27" s="115"/>
      <c r="Z27" s="115"/>
      <c r="AA27" s="115"/>
      <c r="AB27" s="115"/>
      <c r="AC27" s="115"/>
      <c r="AD27" s="115"/>
      <c r="AE27" s="115"/>
      <c r="AF27" s="115"/>
      <c r="AG27" s="115"/>
    </row>
    <row r="28" spans="1:208" s="114" customFormat="1" ht="12.75" customHeight="1" x14ac:dyDescent="0.25">
      <c r="B28" s="115"/>
      <c r="C28" s="115"/>
      <c r="D28" s="115"/>
      <c r="E28" s="115"/>
      <c r="F28" s="115"/>
      <c r="G28" s="115"/>
      <c r="H28" s="115"/>
      <c r="I28" s="115"/>
      <c r="J28" s="115"/>
      <c r="K28" s="115"/>
      <c r="L28" s="115"/>
      <c r="M28" s="115"/>
      <c r="N28" s="115"/>
      <c r="O28" s="115"/>
      <c r="P28" s="115"/>
      <c r="Q28" s="115"/>
      <c r="R28" s="115"/>
      <c r="S28" s="115"/>
      <c r="T28" s="415"/>
      <c r="U28" s="115"/>
      <c r="V28" s="115"/>
      <c r="W28" s="115"/>
      <c r="X28" s="115"/>
      <c r="Y28" s="115"/>
      <c r="Z28" s="115"/>
      <c r="AA28" s="115"/>
      <c r="AB28" s="115"/>
      <c r="AC28" s="115"/>
      <c r="AD28" s="115"/>
      <c r="AE28" s="115"/>
      <c r="AF28" s="115"/>
      <c r="AG28" s="115"/>
    </row>
    <row r="29" spans="1:208" s="114" customFormat="1" ht="12.75" customHeight="1" x14ac:dyDescent="0.25">
      <c r="B29" s="115"/>
      <c r="C29" s="115"/>
      <c r="D29" s="115"/>
      <c r="E29" s="115"/>
      <c r="F29" s="115"/>
      <c r="G29" s="115"/>
      <c r="H29" s="115"/>
      <c r="I29" s="115"/>
      <c r="J29" s="115"/>
      <c r="K29" s="115"/>
      <c r="L29" s="115"/>
      <c r="M29" s="115"/>
      <c r="N29" s="115"/>
      <c r="O29" s="115"/>
      <c r="P29" s="115"/>
      <c r="Q29" s="115"/>
      <c r="R29" s="115"/>
      <c r="S29" s="115"/>
      <c r="T29" s="415"/>
      <c r="U29" s="115"/>
      <c r="V29" s="115"/>
      <c r="W29" s="115"/>
      <c r="X29" s="115"/>
      <c r="Y29" s="115"/>
      <c r="Z29" s="115"/>
      <c r="AA29" s="115"/>
      <c r="AB29" s="115"/>
      <c r="AC29" s="115"/>
      <c r="AD29" s="115"/>
      <c r="AE29" s="115"/>
      <c r="AF29" s="115"/>
      <c r="AG29" s="115"/>
    </row>
    <row r="30" spans="1:208" s="114" customFormat="1" ht="12.75" customHeight="1" x14ac:dyDescent="0.25">
      <c r="B30" s="115"/>
      <c r="C30" s="115"/>
      <c r="D30" s="115"/>
      <c r="E30" s="115"/>
      <c r="F30" s="115"/>
      <c r="G30" s="115"/>
      <c r="H30" s="115"/>
      <c r="I30" s="115"/>
      <c r="J30" s="115"/>
      <c r="K30" s="115"/>
      <c r="L30" s="115"/>
      <c r="M30" s="115"/>
      <c r="N30" s="115"/>
      <c r="O30" s="115"/>
      <c r="P30" s="115"/>
      <c r="Q30" s="115"/>
      <c r="R30" s="115"/>
      <c r="S30" s="115"/>
      <c r="T30" s="415"/>
      <c r="U30" s="115"/>
      <c r="V30" s="115"/>
      <c r="W30" s="115"/>
      <c r="X30" s="115"/>
      <c r="Y30" s="115"/>
      <c r="Z30" s="115"/>
      <c r="AA30" s="115"/>
      <c r="AB30" s="115"/>
      <c r="AC30" s="115"/>
      <c r="AD30" s="115"/>
      <c r="AE30" s="115"/>
      <c r="AF30" s="115"/>
      <c r="AG30" s="115"/>
    </row>
    <row r="31" spans="1:208" s="114" customFormat="1" ht="12.75" customHeight="1" x14ac:dyDescent="0.25">
      <c r="B31" s="115"/>
      <c r="C31" s="115"/>
      <c r="D31" s="115"/>
      <c r="E31" s="115"/>
      <c r="F31" s="115"/>
      <c r="G31" s="115"/>
      <c r="H31" s="115"/>
      <c r="I31" s="115"/>
      <c r="J31" s="115"/>
      <c r="K31" s="115"/>
      <c r="L31" s="115"/>
      <c r="M31" s="115"/>
      <c r="N31" s="115"/>
      <c r="O31" s="115"/>
      <c r="P31" s="115"/>
      <c r="Q31" s="115"/>
      <c r="R31" s="115"/>
      <c r="S31" s="115"/>
      <c r="T31" s="415"/>
      <c r="U31" s="115"/>
      <c r="V31" s="115"/>
      <c r="W31" s="115"/>
      <c r="X31" s="115"/>
      <c r="Y31" s="115"/>
      <c r="Z31" s="115"/>
      <c r="AA31" s="115"/>
      <c r="AB31" s="115"/>
      <c r="AC31" s="115"/>
      <c r="AD31" s="115"/>
      <c r="AE31" s="115"/>
      <c r="AF31" s="115"/>
      <c r="AG31" s="115"/>
    </row>
    <row r="32" spans="1:208" s="114" customFormat="1" ht="12.75" customHeight="1" x14ac:dyDescent="0.25">
      <c r="B32" s="115"/>
      <c r="C32" s="115"/>
      <c r="D32" s="115"/>
      <c r="E32" s="115"/>
      <c r="F32" s="115"/>
      <c r="G32" s="115"/>
      <c r="H32" s="115"/>
      <c r="I32" s="115"/>
      <c r="J32" s="115"/>
      <c r="K32" s="115"/>
      <c r="L32" s="115"/>
      <c r="M32" s="115"/>
      <c r="N32" s="115"/>
      <c r="O32" s="115"/>
      <c r="P32" s="115"/>
      <c r="Q32" s="115"/>
      <c r="R32" s="115"/>
      <c r="S32" s="115"/>
      <c r="T32" s="415"/>
      <c r="U32" s="115"/>
      <c r="V32" s="115"/>
      <c r="W32" s="115"/>
      <c r="X32" s="115"/>
      <c r="Y32" s="115"/>
      <c r="Z32" s="115"/>
      <c r="AA32" s="115"/>
      <c r="AB32" s="115"/>
      <c r="AC32" s="115"/>
      <c r="AD32" s="115"/>
      <c r="AE32" s="115"/>
      <c r="AF32" s="115"/>
      <c r="AG32" s="115"/>
    </row>
    <row r="33" spans="2:33" s="114" customFormat="1" ht="12.75" customHeight="1" x14ac:dyDescent="0.25">
      <c r="B33" s="115"/>
      <c r="C33" s="115"/>
      <c r="D33" s="115"/>
      <c r="E33" s="115"/>
      <c r="F33" s="115"/>
      <c r="G33" s="115"/>
      <c r="H33" s="115"/>
      <c r="I33" s="115"/>
      <c r="J33" s="115"/>
      <c r="K33" s="115"/>
      <c r="L33" s="115"/>
      <c r="M33" s="115"/>
      <c r="N33" s="115"/>
      <c r="O33" s="115"/>
      <c r="P33" s="115"/>
      <c r="Q33" s="115"/>
      <c r="R33" s="115"/>
      <c r="S33" s="115"/>
      <c r="T33" s="415"/>
      <c r="U33" s="115"/>
      <c r="V33" s="115"/>
      <c r="W33" s="115"/>
      <c r="X33" s="115"/>
      <c r="Y33" s="115"/>
      <c r="Z33" s="115"/>
      <c r="AA33" s="115"/>
      <c r="AB33" s="115"/>
      <c r="AC33" s="115"/>
      <c r="AD33" s="115"/>
      <c r="AE33" s="115"/>
      <c r="AF33" s="115"/>
      <c r="AG33" s="115"/>
    </row>
    <row r="34" spans="2:33" s="114" customFormat="1" ht="12.75" customHeight="1" x14ac:dyDescent="0.25">
      <c r="B34" s="115"/>
      <c r="C34" s="115"/>
      <c r="D34" s="115"/>
      <c r="E34" s="115"/>
      <c r="F34" s="115"/>
      <c r="G34" s="115"/>
      <c r="H34" s="115"/>
      <c r="I34" s="115"/>
      <c r="J34" s="115"/>
      <c r="K34" s="115"/>
      <c r="L34" s="115"/>
      <c r="M34" s="115"/>
      <c r="N34" s="115"/>
      <c r="O34" s="115"/>
      <c r="P34" s="115"/>
      <c r="Q34" s="115"/>
      <c r="R34" s="115"/>
      <c r="S34" s="115"/>
      <c r="T34" s="415"/>
      <c r="U34" s="115"/>
      <c r="V34" s="115"/>
      <c r="W34" s="115"/>
      <c r="X34" s="115"/>
      <c r="Y34" s="115"/>
      <c r="Z34" s="115"/>
      <c r="AA34" s="115"/>
      <c r="AB34" s="115"/>
      <c r="AC34" s="115"/>
      <c r="AD34" s="115"/>
      <c r="AE34" s="115"/>
      <c r="AF34" s="115"/>
      <c r="AG34" s="115"/>
    </row>
    <row r="35" spans="2:33" s="114" customFormat="1" ht="12.75" customHeight="1" x14ac:dyDescent="0.25">
      <c r="B35" s="115"/>
      <c r="C35" s="115"/>
      <c r="D35" s="115"/>
      <c r="E35" s="115"/>
      <c r="F35" s="115"/>
      <c r="G35" s="115"/>
      <c r="H35" s="115"/>
      <c r="I35" s="115"/>
      <c r="J35" s="115"/>
      <c r="K35" s="115"/>
      <c r="L35" s="115"/>
      <c r="M35" s="115"/>
      <c r="N35" s="115"/>
      <c r="O35" s="115"/>
      <c r="P35" s="115"/>
      <c r="Q35" s="115"/>
      <c r="R35" s="115"/>
      <c r="S35" s="115"/>
      <c r="T35" s="415"/>
      <c r="U35" s="115"/>
      <c r="V35" s="115"/>
      <c r="W35" s="115"/>
      <c r="X35" s="115"/>
      <c r="Y35" s="115"/>
      <c r="Z35" s="115"/>
      <c r="AA35" s="115"/>
      <c r="AB35" s="115"/>
      <c r="AC35" s="115"/>
      <c r="AD35" s="115"/>
      <c r="AE35" s="115"/>
      <c r="AF35" s="115"/>
      <c r="AG35" s="115"/>
    </row>
    <row r="36" spans="2:33" s="114" customFormat="1" ht="12.75" customHeight="1" x14ac:dyDescent="0.25">
      <c r="B36" s="115"/>
      <c r="C36" s="115"/>
      <c r="D36" s="115"/>
      <c r="E36" s="115"/>
      <c r="F36" s="115"/>
      <c r="G36" s="115"/>
      <c r="H36" s="115"/>
      <c r="I36" s="115"/>
      <c r="J36" s="115"/>
      <c r="K36" s="115"/>
      <c r="L36" s="115"/>
      <c r="M36" s="115"/>
      <c r="N36" s="115"/>
      <c r="O36" s="115"/>
      <c r="P36" s="115"/>
      <c r="Q36" s="115"/>
      <c r="R36" s="115"/>
      <c r="S36" s="115"/>
      <c r="T36" s="415"/>
      <c r="U36" s="115"/>
      <c r="V36" s="115"/>
      <c r="W36" s="115"/>
      <c r="X36" s="115"/>
      <c r="Y36" s="115"/>
      <c r="Z36" s="115"/>
      <c r="AA36" s="115"/>
      <c r="AB36" s="115"/>
      <c r="AC36" s="115"/>
      <c r="AD36" s="115"/>
      <c r="AE36" s="115"/>
      <c r="AF36" s="115"/>
      <c r="AG36" s="115"/>
    </row>
    <row r="37" spans="2:33" s="114" customFormat="1" ht="12.75" customHeight="1" x14ac:dyDescent="0.25">
      <c r="B37" s="115"/>
      <c r="C37" s="115"/>
      <c r="D37" s="115"/>
      <c r="E37" s="115"/>
      <c r="F37" s="115"/>
      <c r="G37" s="115"/>
      <c r="H37" s="115"/>
      <c r="I37" s="115"/>
      <c r="J37" s="115"/>
      <c r="K37" s="115"/>
      <c r="L37" s="115"/>
      <c r="M37" s="115"/>
      <c r="N37" s="115"/>
      <c r="O37" s="115"/>
      <c r="P37" s="115"/>
      <c r="Q37" s="115"/>
      <c r="R37" s="115"/>
      <c r="S37" s="115"/>
      <c r="T37" s="415"/>
      <c r="U37" s="115"/>
      <c r="V37" s="115"/>
      <c r="W37" s="115"/>
      <c r="X37" s="115"/>
      <c r="Y37" s="115"/>
      <c r="Z37" s="115"/>
      <c r="AA37" s="115"/>
      <c r="AB37" s="115"/>
      <c r="AC37" s="115"/>
      <c r="AD37" s="115"/>
      <c r="AE37" s="115"/>
      <c r="AF37" s="115"/>
      <c r="AG37" s="115"/>
    </row>
    <row r="38" spans="2:33" s="114" customFormat="1" ht="12.75" customHeight="1" x14ac:dyDescent="0.25">
      <c r="B38" s="115"/>
      <c r="C38" s="115"/>
      <c r="D38" s="115"/>
      <c r="E38" s="115"/>
      <c r="F38" s="115"/>
      <c r="G38" s="115"/>
      <c r="H38" s="115"/>
      <c r="I38" s="115"/>
      <c r="J38" s="115"/>
      <c r="K38" s="115"/>
      <c r="L38" s="115"/>
      <c r="M38" s="115"/>
      <c r="N38" s="115"/>
      <c r="O38" s="115"/>
      <c r="P38" s="115"/>
      <c r="Q38" s="115"/>
      <c r="R38" s="115"/>
      <c r="S38" s="115"/>
      <c r="T38" s="415"/>
      <c r="U38" s="115"/>
      <c r="V38" s="115"/>
      <c r="W38" s="115"/>
      <c r="X38" s="115"/>
      <c r="Y38" s="115"/>
      <c r="Z38" s="115"/>
      <c r="AA38" s="115"/>
      <c r="AB38" s="115"/>
      <c r="AC38" s="115"/>
      <c r="AD38" s="115"/>
      <c r="AE38" s="115"/>
      <c r="AF38" s="115"/>
      <c r="AG38" s="115"/>
    </row>
    <row r="39" spans="2:33" s="114" customFormat="1" ht="12.75" customHeight="1" x14ac:dyDescent="0.25">
      <c r="B39" s="115"/>
      <c r="C39" s="115"/>
      <c r="D39" s="115"/>
      <c r="E39" s="115"/>
      <c r="F39" s="115"/>
      <c r="G39" s="115"/>
      <c r="H39" s="115"/>
      <c r="I39" s="115"/>
      <c r="J39" s="115"/>
      <c r="K39" s="115"/>
      <c r="L39" s="115"/>
      <c r="M39" s="115"/>
      <c r="N39" s="115"/>
      <c r="O39" s="115"/>
      <c r="P39" s="115"/>
      <c r="Q39" s="115"/>
      <c r="R39" s="115"/>
      <c r="S39" s="115"/>
      <c r="T39" s="415"/>
      <c r="U39" s="115"/>
      <c r="V39" s="115"/>
      <c r="W39" s="115"/>
      <c r="X39" s="115"/>
      <c r="Y39" s="115"/>
      <c r="Z39" s="115"/>
      <c r="AA39" s="115"/>
      <c r="AB39" s="115"/>
      <c r="AC39" s="115"/>
      <c r="AD39" s="115"/>
      <c r="AE39" s="115"/>
      <c r="AF39" s="115"/>
      <c r="AG39" s="115"/>
    </row>
    <row r="49" spans="1:33" ht="12.75" customHeight="1" x14ac:dyDescent="0.2">
      <c r="A49" s="116" t="s">
        <v>131</v>
      </c>
    </row>
    <row r="50" spans="1:33" s="119" customFormat="1" ht="12.75" customHeight="1" x14ac:dyDescent="0.25">
      <c r="B50" s="120" t="s">
        <v>132</v>
      </c>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row>
    <row r="51" spans="1:33" ht="12.75" customHeight="1" x14ac:dyDescent="0.2">
      <c r="B51" s="121" t="s">
        <v>87</v>
      </c>
    </row>
    <row r="52" spans="1:33" ht="12.75" customHeight="1" x14ac:dyDescent="0.2">
      <c r="B52" s="122" t="s">
        <v>133</v>
      </c>
    </row>
    <row r="53" spans="1:33" ht="12.75" customHeight="1" x14ac:dyDescent="0.2">
      <c r="B53" s="122" t="s">
        <v>134</v>
      </c>
    </row>
    <row r="54" spans="1:33" ht="12.75" customHeight="1" x14ac:dyDescent="0.2">
      <c r="B54" s="122" t="s">
        <v>135</v>
      </c>
    </row>
    <row r="55" spans="1:33" ht="12.75" customHeight="1" x14ac:dyDescent="0.2">
      <c r="B55" s="122" t="s">
        <v>108</v>
      </c>
    </row>
    <row r="56" spans="1:33" ht="12.75" customHeight="1" x14ac:dyDescent="0.2">
      <c r="B56" s="122" t="s">
        <v>136</v>
      </c>
    </row>
    <row r="57" spans="1:33" ht="12.75" customHeight="1" x14ac:dyDescent="0.2">
      <c r="B57" s="122" t="s">
        <v>137</v>
      </c>
    </row>
    <row r="58" spans="1:33" ht="12.75" customHeight="1" x14ac:dyDescent="0.2">
      <c r="B58" s="122" t="s">
        <v>138</v>
      </c>
    </row>
    <row r="59" spans="1:33" ht="12.75" customHeight="1" x14ac:dyDescent="0.2">
      <c r="B59" s="122" t="s">
        <v>139</v>
      </c>
    </row>
  </sheetData>
  <sheetProtection formatCells="0" insertHyperlinks="0"/>
  <dataValidations count="4">
    <dataValidation type="list" allowBlank="1" showInputMessage="1" showErrorMessage="1" prompt="Select from List." sqref="WVL983042 HA3:IT3 WVL3 WLP3 WBT3 VRX3 VIB3 UYF3 UOJ3 UEN3 TUR3 TKV3 TAZ3 SRD3 SHH3 RXL3 RNP3 RDT3 QTX3 QKB3 QAF3 PQJ3 PGN3 OWR3 OMV3 OCZ3 NTD3 NJH3 MZL3 MPP3 MFT3 LVX3 LMB3 LCF3 KSJ3 KIN3 JYR3 JOV3 JEZ3 IVD3 ILH3 IBL3 HRP3 HHT3 GXX3 GOB3 GEF3 FUJ3 FKN3 FAR3 EQV3 EGZ3 DXD3 DNH3 DDL3 CTP3 CJT3 BZX3 BQB3 BGF3 AWJ3 AMN3 ACR3 SV3 IZ3 XDI3:XFD3 WTM3:WVF3 WJQ3:WLJ3 VZU3:WBN3 VPY3:VRR3 VGC3:VHV3 UWG3:UXZ3 UMK3:UOD3 UCO3:UEH3 TSS3:TUL3 TIW3:TKP3 SZA3:TAT3 SPE3:SQX3 SFI3:SHB3 RVM3:RXF3 RLQ3:RNJ3 RBU3:RDN3 QRY3:QTR3 QIC3:QJV3 PYG3:PZZ3 POK3:PQD3 PEO3:PGH3 OUS3:OWL3 OKW3:OMP3 OBA3:OCT3 NRE3:NSX3 NHI3:NJB3 MXM3:MZF3 MNQ3:MPJ3 MDU3:MFN3 LTY3:LVR3 LKC3:LLV3 LAG3:LBZ3 KQK3:KSD3 KGO3:KIH3 JWS3:JYL3 JMW3:JOP3 JDA3:JET3 ITE3:IUX3 IJI3:ILB3 HZM3:IBF3 HPQ3:HRJ3 HFU3:HHN3 GVY3:GXR3 GMC3:GNV3 GCG3:GDZ3 FSK3:FUD3 FIO3:FKH3 EYS3:FAL3 EOW3:EQP3 EFA3:EGT3 DVE3:DWX3 DLI3:DNB3 DBM3:DDF3 CRQ3:CTJ3 CHU3:CJN3 BXY3:BZR3 BOC3:BPV3 BEG3:BFZ3 AUK3:AWD3 AKO3:AMH3 AAS3:ACL3 QW3:SP3 HA65538:IT65538 QW65538:SP65538 AAS65538:ACL65538 AKO65538:AMH65538 AUK65538:AWD65538 BEG65538:BFZ65538 BOC65538:BPV65538 BXY65538:BZR65538 CHU65538:CJN65538 CRQ65538:CTJ65538 DBM65538:DDF65538 DLI65538:DNB65538 DVE65538:DWX65538 EFA65538:EGT65538 EOW65538:EQP65538 EYS65538:FAL65538 FIO65538:FKH65538 FSK65538:FUD65538 GCG65538:GDZ65538 GMC65538:GNV65538 GVY65538:GXR65538 HFU65538:HHN65538 HPQ65538:HRJ65538 HZM65538:IBF65538 IJI65538:ILB65538 ITE65538:IUX65538 JDA65538:JET65538 JMW65538:JOP65538 JWS65538:JYL65538 KGO65538:KIH65538 KQK65538:KSD65538 LAG65538:LBZ65538 LKC65538:LLV65538 LTY65538:LVR65538 MDU65538:MFN65538 MNQ65538:MPJ65538 MXM65538:MZF65538 NHI65538:NJB65538 NRE65538:NSX65538 OBA65538:OCT65538 OKW65538:OMP65538 OUS65538:OWL65538 PEO65538:PGH65538 POK65538:PQD65538 PYG65538:PZZ65538 QIC65538:QJV65538 QRY65538:QTR65538 RBU65538:RDN65538 RLQ65538:RNJ65538 RVM65538:RXF65538 SFI65538:SHB65538 SPE65538:SQX65538 SZA65538:TAT65538 TIW65538:TKP65538 TSS65538:TUL65538 UCO65538:UEH65538 UMK65538:UOD65538 UWG65538:UXZ65538 VGC65538:VHV65538 VPY65538:VRR65538 VZU65538:WBN65538 WJQ65538:WLJ65538 WTM65538:WVF65538 XDI65538:XFD65538 HA131074:IT131074 QW131074:SP131074 AAS131074:ACL131074 AKO131074:AMH131074 AUK131074:AWD131074 BEG131074:BFZ131074 BOC131074:BPV131074 BXY131074:BZR131074 CHU131074:CJN131074 CRQ131074:CTJ131074 DBM131074:DDF131074 DLI131074:DNB131074 DVE131074:DWX131074 EFA131074:EGT131074 EOW131074:EQP131074 EYS131074:FAL131074 FIO131074:FKH131074 FSK131074:FUD131074 GCG131074:GDZ131074 GMC131074:GNV131074 GVY131074:GXR131074 HFU131074:HHN131074 HPQ131074:HRJ131074 HZM131074:IBF131074 IJI131074:ILB131074 ITE131074:IUX131074 JDA131074:JET131074 JMW131074:JOP131074 JWS131074:JYL131074 KGO131074:KIH131074 KQK131074:KSD131074 LAG131074:LBZ131074 LKC131074:LLV131074 LTY131074:LVR131074 MDU131074:MFN131074 MNQ131074:MPJ131074 MXM131074:MZF131074 NHI131074:NJB131074 NRE131074:NSX131074 OBA131074:OCT131074 OKW131074:OMP131074 OUS131074:OWL131074 PEO131074:PGH131074 POK131074:PQD131074 PYG131074:PZZ131074 QIC131074:QJV131074 QRY131074:QTR131074 RBU131074:RDN131074 RLQ131074:RNJ131074 RVM131074:RXF131074 SFI131074:SHB131074 SPE131074:SQX131074 SZA131074:TAT131074 TIW131074:TKP131074 TSS131074:TUL131074 UCO131074:UEH131074 UMK131074:UOD131074 UWG131074:UXZ131074 VGC131074:VHV131074 VPY131074:VRR131074 VZU131074:WBN131074 WJQ131074:WLJ131074 WTM131074:WVF131074 XDI131074:XFD131074 HA196610:IT196610 QW196610:SP196610 AAS196610:ACL196610 AKO196610:AMH196610 AUK196610:AWD196610 BEG196610:BFZ196610 BOC196610:BPV196610 BXY196610:BZR196610 CHU196610:CJN196610 CRQ196610:CTJ196610 DBM196610:DDF196610 DLI196610:DNB196610 DVE196610:DWX196610 EFA196610:EGT196610 EOW196610:EQP196610 EYS196610:FAL196610 FIO196610:FKH196610 FSK196610:FUD196610 GCG196610:GDZ196610 GMC196610:GNV196610 GVY196610:GXR196610 HFU196610:HHN196610 HPQ196610:HRJ196610 HZM196610:IBF196610 IJI196610:ILB196610 ITE196610:IUX196610 JDA196610:JET196610 JMW196610:JOP196610 JWS196610:JYL196610 KGO196610:KIH196610 KQK196610:KSD196610 LAG196610:LBZ196610 LKC196610:LLV196610 LTY196610:LVR196610 MDU196610:MFN196610 MNQ196610:MPJ196610 MXM196610:MZF196610 NHI196610:NJB196610 NRE196610:NSX196610 OBA196610:OCT196610 OKW196610:OMP196610 OUS196610:OWL196610 PEO196610:PGH196610 POK196610:PQD196610 PYG196610:PZZ196610 QIC196610:QJV196610 QRY196610:QTR196610 RBU196610:RDN196610 RLQ196610:RNJ196610 RVM196610:RXF196610 SFI196610:SHB196610 SPE196610:SQX196610 SZA196610:TAT196610 TIW196610:TKP196610 TSS196610:TUL196610 UCO196610:UEH196610 UMK196610:UOD196610 UWG196610:UXZ196610 VGC196610:VHV196610 VPY196610:VRR196610 VZU196610:WBN196610 WJQ196610:WLJ196610 WTM196610:WVF196610 XDI196610:XFD196610 HA262146:IT262146 QW262146:SP262146 AAS262146:ACL262146 AKO262146:AMH262146 AUK262146:AWD262146 BEG262146:BFZ262146 BOC262146:BPV262146 BXY262146:BZR262146 CHU262146:CJN262146 CRQ262146:CTJ262146 DBM262146:DDF262146 DLI262146:DNB262146 DVE262146:DWX262146 EFA262146:EGT262146 EOW262146:EQP262146 EYS262146:FAL262146 FIO262146:FKH262146 FSK262146:FUD262146 GCG262146:GDZ262146 GMC262146:GNV262146 GVY262146:GXR262146 HFU262146:HHN262146 HPQ262146:HRJ262146 HZM262146:IBF262146 IJI262146:ILB262146 ITE262146:IUX262146 JDA262146:JET262146 JMW262146:JOP262146 JWS262146:JYL262146 KGO262146:KIH262146 KQK262146:KSD262146 LAG262146:LBZ262146 LKC262146:LLV262146 LTY262146:LVR262146 MDU262146:MFN262146 MNQ262146:MPJ262146 MXM262146:MZF262146 NHI262146:NJB262146 NRE262146:NSX262146 OBA262146:OCT262146 OKW262146:OMP262146 OUS262146:OWL262146 PEO262146:PGH262146 POK262146:PQD262146 PYG262146:PZZ262146 QIC262146:QJV262146 QRY262146:QTR262146 RBU262146:RDN262146 RLQ262146:RNJ262146 RVM262146:RXF262146 SFI262146:SHB262146 SPE262146:SQX262146 SZA262146:TAT262146 TIW262146:TKP262146 TSS262146:TUL262146 UCO262146:UEH262146 UMK262146:UOD262146 UWG262146:UXZ262146 VGC262146:VHV262146 VPY262146:VRR262146 VZU262146:WBN262146 WJQ262146:WLJ262146 WTM262146:WVF262146 XDI262146:XFD262146 HA327682:IT327682 QW327682:SP327682 AAS327682:ACL327682 AKO327682:AMH327682 AUK327682:AWD327682 BEG327682:BFZ327682 BOC327682:BPV327682 BXY327682:BZR327682 CHU327682:CJN327682 CRQ327682:CTJ327682 DBM327682:DDF327682 DLI327682:DNB327682 DVE327682:DWX327682 EFA327682:EGT327682 EOW327682:EQP327682 EYS327682:FAL327682 FIO327682:FKH327682 FSK327682:FUD327682 GCG327682:GDZ327682 GMC327682:GNV327682 GVY327682:GXR327682 HFU327682:HHN327682 HPQ327682:HRJ327682 HZM327682:IBF327682 IJI327682:ILB327682 ITE327682:IUX327682 JDA327682:JET327682 JMW327682:JOP327682 JWS327682:JYL327682 KGO327682:KIH327682 KQK327682:KSD327682 LAG327682:LBZ327682 LKC327682:LLV327682 LTY327682:LVR327682 MDU327682:MFN327682 MNQ327682:MPJ327682 MXM327682:MZF327682 NHI327682:NJB327682 NRE327682:NSX327682 OBA327682:OCT327682 OKW327682:OMP327682 OUS327682:OWL327682 PEO327682:PGH327682 POK327682:PQD327682 PYG327682:PZZ327682 QIC327682:QJV327682 QRY327682:QTR327682 RBU327682:RDN327682 RLQ327682:RNJ327682 RVM327682:RXF327682 SFI327682:SHB327682 SPE327682:SQX327682 SZA327682:TAT327682 TIW327682:TKP327682 TSS327682:TUL327682 UCO327682:UEH327682 UMK327682:UOD327682 UWG327682:UXZ327682 VGC327682:VHV327682 VPY327682:VRR327682 VZU327682:WBN327682 WJQ327682:WLJ327682 WTM327682:WVF327682 XDI327682:XFD327682 HA393218:IT393218 QW393218:SP393218 AAS393218:ACL393218 AKO393218:AMH393218 AUK393218:AWD393218 BEG393218:BFZ393218 BOC393218:BPV393218 BXY393218:BZR393218 CHU393218:CJN393218 CRQ393218:CTJ393218 DBM393218:DDF393218 DLI393218:DNB393218 DVE393218:DWX393218 EFA393218:EGT393218 EOW393218:EQP393218 EYS393218:FAL393218 FIO393218:FKH393218 FSK393218:FUD393218 GCG393218:GDZ393218 GMC393218:GNV393218 GVY393218:GXR393218 HFU393218:HHN393218 HPQ393218:HRJ393218 HZM393218:IBF393218 IJI393218:ILB393218 ITE393218:IUX393218 JDA393218:JET393218 JMW393218:JOP393218 JWS393218:JYL393218 KGO393218:KIH393218 KQK393218:KSD393218 LAG393218:LBZ393218 LKC393218:LLV393218 LTY393218:LVR393218 MDU393218:MFN393218 MNQ393218:MPJ393218 MXM393218:MZF393218 NHI393218:NJB393218 NRE393218:NSX393218 OBA393218:OCT393218 OKW393218:OMP393218 OUS393218:OWL393218 PEO393218:PGH393218 POK393218:PQD393218 PYG393218:PZZ393218 QIC393218:QJV393218 QRY393218:QTR393218 RBU393218:RDN393218 RLQ393218:RNJ393218 RVM393218:RXF393218 SFI393218:SHB393218 SPE393218:SQX393218 SZA393218:TAT393218 TIW393218:TKP393218 TSS393218:TUL393218 UCO393218:UEH393218 UMK393218:UOD393218 UWG393218:UXZ393218 VGC393218:VHV393218 VPY393218:VRR393218 VZU393218:WBN393218 WJQ393218:WLJ393218 WTM393218:WVF393218 XDI393218:XFD393218 HA458754:IT458754 QW458754:SP458754 AAS458754:ACL458754 AKO458754:AMH458754 AUK458754:AWD458754 BEG458754:BFZ458754 BOC458754:BPV458754 BXY458754:BZR458754 CHU458754:CJN458754 CRQ458754:CTJ458754 DBM458754:DDF458754 DLI458754:DNB458754 DVE458754:DWX458754 EFA458754:EGT458754 EOW458754:EQP458754 EYS458754:FAL458754 FIO458754:FKH458754 FSK458754:FUD458754 GCG458754:GDZ458754 GMC458754:GNV458754 GVY458754:GXR458754 HFU458754:HHN458754 HPQ458754:HRJ458754 HZM458754:IBF458754 IJI458754:ILB458754 ITE458754:IUX458754 JDA458754:JET458754 JMW458754:JOP458754 JWS458754:JYL458754 KGO458754:KIH458754 KQK458754:KSD458754 LAG458754:LBZ458754 LKC458754:LLV458754 LTY458754:LVR458754 MDU458754:MFN458754 MNQ458754:MPJ458754 MXM458754:MZF458754 NHI458754:NJB458754 NRE458754:NSX458754 OBA458754:OCT458754 OKW458754:OMP458754 OUS458754:OWL458754 PEO458754:PGH458754 POK458754:PQD458754 PYG458754:PZZ458754 QIC458754:QJV458754 QRY458754:QTR458754 RBU458754:RDN458754 RLQ458754:RNJ458754 RVM458754:RXF458754 SFI458754:SHB458754 SPE458754:SQX458754 SZA458754:TAT458754 TIW458754:TKP458754 TSS458754:TUL458754 UCO458754:UEH458754 UMK458754:UOD458754 UWG458754:UXZ458754 VGC458754:VHV458754 VPY458754:VRR458754 VZU458754:WBN458754 WJQ458754:WLJ458754 WTM458754:WVF458754 XDI458754:XFD458754 HA524290:IT524290 QW524290:SP524290 AAS524290:ACL524290 AKO524290:AMH524290 AUK524290:AWD524290 BEG524290:BFZ524290 BOC524290:BPV524290 BXY524290:BZR524290 CHU524290:CJN524290 CRQ524290:CTJ524290 DBM524290:DDF524290 DLI524290:DNB524290 DVE524290:DWX524290 EFA524290:EGT524290 EOW524290:EQP524290 EYS524290:FAL524290 FIO524290:FKH524290 FSK524290:FUD524290 GCG524290:GDZ524290 GMC524290:GNV524290 GVY524290:GXR524290 HFU524290:HHN524290 HPQ524290:HRJ524290 HZM524290:IBF524290 IJI524290:ILB524290 ITE524290:IUX524290 JDA524290:JET524290 JMW524290:JOP524290 JWS524290:JYL524290 KGO524290:KIH524290 KQK524290:KSD524290 LAG524290:LBZ524290 LKC524290:LLV524290 LTY524290:LVR524290 MDU524290:MFN524290 MNQ524290:MPJ524290 MXM524290:MZF524290 NHI524290:NJB524290 NRE524290:NSX524290 OBA524290:OCT524290 OKW524290:OMP524290 OUS524290:OWL524290 PEO524290:PGH524290 POK524290:PQD524290 PYG524290:PZZ524290 QIC524290:QJV524290 QRY524290:QTR524290 RBU524290:RDN524290 RLQ524290:RNJ524290 RVM524290:RXF524290 SFI524290:SHB524290 SPE524290:SQX524290 SZA524290:TAT524290 TIW524290:TKP524290 TSS524290:TUL524290 UCO524290:UEH524290 UMK524290:UOD524290 UWG524290:UXZ524290 VGC524290:VHV524290 VPY524290:VRR524290 VZU524290:WBN524290 WJQ524290:WLJ524290 WTM524290:WVF524290 XDI524290:XFD524290 HA589826:IT589826 QW589826:SP589826 AAS589826:ACL589826 AKO589826:AMH589826 AUK589826:AWD589826 BEG589826:BFZ589826 BOC589826:BPV589826 BXY589826:BZR589826 CHU589826:CJN589826 CRQ589826:CTJ589826 DBM589826:DDF589826 DLI589826:DNB589826 DVE589826:DWX589826 EFA589826:EGT589826 EOW589826:EQP589826 EYS589826:FAL589826 FIO589826:FKH589826 FSK589826:FUD589826 GCG589826:GDZ589826 GMC589826:GNV589826 GVY589826:GXR589826 HFU589826:HHN589826 HPQ589826:HRJ589826 HZM589826:IBF589826 IJI589826:ILB589826 ITE589826:IUX589826 JDA589826:JET589826 JMW589826:JOP589826 JWS589826:JYL589826 KGO589826:KIH589826 KQK589826:KSD589826 LAG589826:LBZ589826 LKC589826:LLV589826 LTY589826:LVR589826 MDU589826:MFN589826 MNQ589826:MPJ589826 MXM589826:MZF589826 NHI589826:NJB589826 NRE589826:NSX589826 OBA589826:OCT589826 OKW589826:OMP589826 OUS589826:OWL589826 PEO589826:PGH589826 POK589826:PQD589826 PYG589826:PZZ589826 QIC589826:QJV589826 QRY589826:QTR589826 RBU589826:RDN589826 RLQ589826:RNJ589826 RVM589826:RXF589826 SFI589826:SHB589826 SPE589826:SQX589826 SZA589826:TAT589826 TIW589826:TKP589826 TSS589826:TUL589826 UCO589826:UEH589826 UMK589826:UOD589826 UWG589826:UXZ589826 VGC589826:VHV589826 VPY589826:VRR589826 VZU589826:WBN589826 WJQ589826:WLJ589826 WTM589826:WVF589826 XDI589826:XFD589826 HA655362:IT655362 QW655362:SP655362 AAS655362:ACL655362 AKO655362:AMH655362 AUK655362:AWD655362 BEG655362:BFZ655362 BOC655362:BPV655362 BXY655362:BZR655362 CHU655362:CJN655362 CRQ655362:CTJ655362 DBM655362:DDF655362 DLI655362:DNB655362 DVE655362:DWX655362 EFA655362:EGT655362 EOW655362:EQP655362 EYS655362:FAL655362 FIO655362:FKH655362 FSK655362:FUD655362 GCG655362:GDZ655362 GMC655362:GNV655362 GVY655362:GXR655362 HFU655362:HHN655362 HPQ655362:HRJ655362 HZM655362:IBF655362 IJI655362:ILB655362 ITE655362:IUX655362 JDA655362:JET655362 JMW655362:JOP655362 JWS655362:JYL655362 KGO655362:KIH655362 KQK655362:KSD655362 LAG655362:LBZ655362 LKC655362:LLV655362 LTY655362:LVR655362 MDU655362:MFN655362 MNQ655362:MPJ655362 MXM655362:MZF655362 NHI655362:NJB655362 NRE655362:NSX655362 OBA655362:OCT655362 OKW655362:OMP655362 OUS655362:OWL655362 PEO655362:PGH655362 POK655362:PQD655362 PYG655362:PZZ655362 QIC655362:QJV655362 QRY655362:QTR655362 RBU655362:RDN655362 RLQ655362:RNJ655362 RVM655362:RXF655362 SFI655362:SHB655362 SPE655362:SQX655362 SZA655362:TAT655362 TIW655362:TKP655362 TSS655362:TUL655362 UCO655362:UEH655362 UMK655362:UOD655362 UWG655362:UXZ655362 VGC655362:VHV655362 VPY655362:VRR655362 VZU655362:WBN655362 WJQ655362:WLJ655362 WTM655362:WVF655362 XDI655362:XFD655362 HA720898:IT720898 QW720898:SP720898 AAS720898:ACL720898 AKO720898:AMH720898 AUK720898:AWD720898 BEG720898:BFZ720898 BOC720898:BPV720898 BXY720898:BZR720898 CHU720898:CJN720898 CRQ720898:CTJ720898 DBM720898:DDF720898 DLI720898:DNB720898 DVE720898:DWX720898 EFA720898:EGT720898 EOW720898:EQP720898 EYS720898:FAL720898 FIO720898:FKH720898 FSK720898:FUD720898 GCG720898:GDZ720898 GMC720898:GNV720898 GVY720898:GXR720898 HFU720898:HHN720898 HPQ720898:HRJ720898 HZM720898:IBF720898 IJI720898:ILB720898 ITE720898:IUX720898 JDA720898:JET720898 JMW720898:JOP720898 JWS720898:JYL720898 KGO720898:KIH720898 KQK720898:KSD720898 LAG720898:LBZ720898 LKC720898:LLV720898 LTY720898:LVR720898 MDU720898:MFN720898 MNQ720898:MPJ720898 MXM720898:MZF720898 NHI720898:NJB720898 NRE720898:NSX720898 OBA720898:OCT720898 OKW720898:OMP720898 OUS720898:OWL720898 PEO720898:PGH720898 POK720898:PQD720898 PYG720898:PZZ720898 QIC720898:QJV720898 QRY720898:QTR720898 RBU720898:RDN720898 RLQ720898:RNJ720898 RVM720898:RXF720898 SFI720898:SHB720898 SPE720898:SQX720898 SZA720898:TAT720898 TIW720898:TKP720898 TSS720898:TUL720898 UCO720898:UEH720898 UMK720898:UOD720898 UWG720898:UXZ720898 VGC720898:VHV720898 VPY720898:VRR720898 VZU720898:WBN720898 WJQ720898:WLJ720898 WTM720898:WVF720898 XDI720898:XFD720898 HA786434:IT786434 QW786434:SP786434 AAS786434:ACL786434 AKO786434:AMH786434 AUK786434:AWD786434 BEG786434:BFZ786434 BOC786434:BPV786434 BXY786434:BZR786434 CHU786434:CJN786434 CRQ786434:CTJ786434 DBM786434:DDF786434 DLI786434:DNB786434 DVE786434:DWX786434 EFA786434:EGT786434 EOW786434:EQP786434 EYS786434:FAL786434 FIO786434:FKH786434 FSK786434:FUD786434 GCG786434:GDZ786434 GMC786434:GNV786434 GVY786434:GXR786434 HFU786434:HHN786434 HPQ786434:HRJ786434 HZM786434:IBF786434 IJI786434:ILB786434 ITE786434:IUX786434 JDA786434:JET786434 JMW786434:JOP786434 JWS786434:JYL786434 KGO786434:KIH786434 KQK786434:KSD786434 LAG786434:LBZ786434 LKC786434:LLV786434 LTY786434:LVR786434 MDU786434:MFN786434 MNQ786434:MPJ786434 MXM786434:MZF786434 NHI786434:NJB786434 NRE786434:NSX786434 OBA786434:OCT786434 OKW786434:OMP786434 OUS786434:OWL786434 PEO786434:PGH786434 POK786434:PQD786434 PYG786434:PZZ786434 QIC786434:QJV786434 QRY786434:QTR786434 RBU786434:RDN786434 RLQ786434:RNJ786434 RVM786434:RXF786434 SFI786434:SHB786434 SPE786434:SQX786434 SZA786434:TAT786434 TIW786434:TKP786434 TSS786434:TUL786434 UCO786434:UEH786434 UMK786434:UOD786434 UWG786434:UXZ786434 VGC786434:VHV786434 VPY786434:VRR786434 VZU786434:WBN786434 WJQ786434:WLJ786434 WTM786434:WVF786434 XDI786434:XFD786434 HA851970:IT851970 QW851970:SP851970 AAS851970:ACL851970 AKO851970:AMH851970 AUK851970:AWD851970 BEG851970:BFZ851970 BOC851970:BPV851970 BXY851970:BZR851970 CHU851970:CJN851970 CRQ851970:CTJ851970 DBM851970:DDF851970 DLI851970:DNB851970 DVE851970:DWX851970 EFA851970:EGT851970 EOW851970:EQP851970 EYS851970:FAL851970 FIO851970:FKH851970 FSK851970:FUD851970 GCG851970:GDZ851970 GMC851970:GNV851970 GVY851970:GXR851970 HFU851970:HHN851970 HPQ851970:HRJ851970 HZM851970:IBF851970 IJI851970:ILB851970 ITE851970:IUX851970 JDA851970:JET851970 JMW851970:JOP851970 JWS851970:JYL851970 KGO851970:KIH851970 KQK851970:KSD851970 LAG851970:LBZ851970 LKC851970:LLV851970 LTY851970:LVR851970 MDU851970:MFN851970 MNQ851970:MPJ851970 MXM851970:MZF851970 NHI851970:NJB851970 NRE851970:NSX851970 OBA851970:OCT851970 OKW851970:OMP851970 OUS851970:OWL851970 PEO851970:PGH851970 POK851970:PQD851970 PYG851970:PZZ851970 QIC851970:QJV851970 QRY851970:QTR851970 RBU851970:RDN851970 RLQ851970:RNJ851970 RVM851970:RXF851970 SFI851970:SHB851970 SPE851970:SQX851970 SZA851970:TAT851970 TIW851970:TKP851970 TSS851970:TUL851970 UCO851970:UEH851970 UMK851970:UOD851970 UWG851970:UXZ851970 VGC851970:VHV851970 VPY851970:VRR851970 VZU851970:WBN851970 WJQ851970:WLJ851970 WTM851970:WVF851970 XDI851970:XFD851970 HA917506:IT917506 QW917506:SP917506 AAS917506:ACL917506 AKO917506:AMH917506 AUK917506:AWD917506 BEG917506:BFZ917506 BOC917506:BPV917506 BXY917506:BZR917506 CHU917506:CJN917506 CRQ917506:CTJ917506 DBM917506:DDF917506 DLI917506:DNB917506 DVE917506:DWX917506 EFA917506:EGT917506 EOW917506:EQP917506 EYS917506:FAL917506 FIO917506:FKH917506 FSK917506:FUD917506 GCG917506:GDZ917506 GMC917506:GNV917506 GVY917506:GXR917506 HFU917506:HHN917506 HPQ917506:HRJ917506 HZM917506:IBF917506 IJI917506:ILB917506 ITE917506:IUX917506 JDA917506:JET917506 JMW917506:JOP917506 JWS917506:JYL917506 KGO917506:KIH917506 KQK917506:KSD917506 LAG917506:LBZ917506 LKC917506:LLV917506 LTY917506:LVR917506 MDU917506:MFN917506 MNQ917506:MPJ917506 MXM917506:MZF917506 NHI917506:NJB917506 NRE917506:NSX917506 OBA917506:OCT917506 OKW917506:OMP917506 OUS917506:OWL917506 PEO917506:PGH917506 POK917506:PQD917506 PYG917506:PZZ917506 QIC917506:QJV917506 QRY917506:QTR917506 RBU917506:RDN917506 RLQ917506:RNJ917506 RVM917506:RXF917506 SFI917506:SHB917506 SPE917506:SQX917506 SZA917506:TAT917506 TIW917506:TKP917506 TSS917506:TUL917506 UCO917506:UEH917506 UMK917506:UOD917506 UWG917506:UXZ917506 VGC917506:VHV917506 VPY917506:VRR917506 VZU917506:WBN917506 WJQ917506:WLJ917506 WTM917506:WVF917506 XDI917506:XFD917506 HA983042:IT983042 QW983042:SP983042 AAS983042:ACL983042 AKO983042:AMH983042 AUK983042:AWD983042 BEG983042:BFZ983042 BOC983042:BPV983042 BXY983042:BZR983042 CHU983042:CJN983042 CRQ983042:CTJ983042 DBM983042:DDF983042 DLI983042:DNB983042 DVE983042:DWX983042 EFA983042:EGT983042 EOW983042:EQP983042 EYS983042:FAL983042 FIO983042:FKH983042 FSK983042:FUD983042 GCG983042:GDZ983042 GMC983042:GNV983042 GVY983042:GXR983042 HFU983042:HHN983042 HPQ983042:HRJ983042 HZM983042:IBF983042 IJI983042:ILB983042 ITE983042:IUX983042 JDA983042:JET983042 JMW983042:JOP983042 JWS983042:JYL983042 KGO983042:KIH983042 KQK983042:KSD983042 LAG983042:LBZ983042 LKC983042:LLV983042 LTY983042:LVR983042 MDU983042:MFN983042 MNQ983042:MPJ983042 MXM983042:MZF983042 NHI983042:NJB983042 NRE983042:NSX983042 OBA983042:OCT983042 OKW983042:OMP983042 OUS983042:OWL983042 PEO983042:PGH983042 POK983042:PQD983042 PYG983042:PZZ983042 QIC983042:QJV983042 QRY983042:QTR983042 RBU983042:RDN983042 RLQ983042:RNJ983042 RVM983042:RXF983042 SFI983042:SHB983042 SPE983042:SQX983042 SZA983042:TAT983042 TIW983042:TKP983042 TSS983042:TUL983042 UCO983042:UEH983042 UMK983042:UOD983042 UWG983042:UXZ983042 VGC983042:VHV983042 VPY983042:VRR983042 VZU983042:WBN983042 WJQ983042:WLJ983042 WTM983042:WVF983042 XDI983042:XFD983042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F983042 F917506 F851970 F786434 F720898 F655362 F589826 F524290 F458754 F393218 F327682 F262146 F196610 F131074 F65538 F3 B3 W3:X3">
      <formula1>lstSourceType</formula1>
    </dataValidation>
    <dataValidation type="list" allowBlank="1" showInputMessage="1" showErrorMessage="1" prompt="Select from list." sqref="WVL983058 CA16 WVL19 WLP19 WBT19 VRX19 VIB19 UYF19 UOJ19 UEN19 TUR19 TKV19 TAZ19 SRD19 SHH19 RXL19 RNP19 RDT19 QTX19 QKB19 QAF19 PQJ19 PGN19 OWR19 OMV19 OCZ19 NTD19 NJH19 MZL19 MPP19 MFT19 LVX19 LMB19 LCF19 KSJ19 KIN19 JYR19 JOV19 JEZ19 IVD19 ILH19 IBL19 HRP19 HHT19 GXX19 GOB19 GEF19 FUJ19 FKN19 FAR19 EQV19 EGZ19 DXD19 DNH19 DDL19 CTP19 CJT19 BZX19 BQB19 BGF19 AWJ19 AMN19 ACR19 SV19 IZ19 WYI16 WOM16 WEQ16 VUU16 VKY16 VBC16 URG16 UHK16 TXO16 TNS16 TDW16 SUA16 SKE16 SAI16 RQM16 RGQ16 QWU16 QMY16 QDC16 PTG16 PJK16 OZO16 OPS16 OFW16 NWA16 NME16 NCI16 MSM16 MIQ16 LYU16 LOY16 LFC16 KVG16 KLK16 KBO16 JRS16 JHW16 IYA16 IOE16 IEI16 HUM16 HKQ16 HAU16 GQY16 GHC16 FXG16 FNK16 FDO16 ETS16 EJW16 EAA16 DQE16 DGI16 CWM16 CMQ16 CCU16 BSY16 BJC16 AZG16 APK16 AFO16 VS16 LW16 CA65551 LW65551 VS65551 AFO65551 APK65551 AZG65551 BJC65551 BSY65551 CCU65551 CMQ65551 CWM65551 DGI65551 DQE65551 EAA65551 EJW65551 ETS65551 FDO65551 FNK65551 FXG65551 GHC65551 GQY65551 HAU65551 HKQ65551 HUM65551 IEI65551 IOE65551 IYA65551 JHW65551 JRS65551 KBO65551 KLK65551 KVG65551 LFC65551 LOY65551 LYU65551 MIQ65551 MSM65551 NCI65551 NME65551 NWA65551 OFW65551 OPS65551 OZO65551 PJK65551 PTG65551 QDC65551 QMY65551 QWU65551 RGQ65551 RQM65551 SAI65551 SKE65551 SUA65551 TDW65551 TNS65551 TXO65551 UHK65551 URG65551 VBC65551 VKY65551 VUU65551 WEQ65551 WOM65551 WYI65551 CA131087 LW131087 VS131087 AFO131087 APK131087 AZG131087 BJC131087 BSY131087 CCU131087 CMQ131087 CWM131087 DGI131087 DQE131087 EAA131087 EJW131087 ETS131087 FDO131087 FNK131087 FXG131087 GHC131087 GQY131087 HAU131087 HKQ131087 HUM131087 IEI131087 IOE131087 IYA131087 JHW131087 JRS131087 KBO131087 KLK131087 KVG131087 LFC131087 LOY131087 LYU131087 MIQ131087 MSM131087 NCI131087 NME131087 NWA131087 OFW131087 OPS131087 OZO131087 PJK131087 PTG131087 QDC131087 QMY131087 QWU131087 RGQ131087 RQM131087 SAI131087 SKE131087 SUA131087 TDW131087 TNS131087 TXO131087 UHK131087 URG131087 VBC131087 VKY131087 VUU131087 WEQ131087 WOM131087 WYI131087 CA196623 LW196623 VS196623 AFO196623 APK196623 AZG196623 BJC196623 BSY196623 CCU196623 CMQ196623 CWM196623 DGI196623 DQE196623 EAA196623 EJW196623 ETS196623 FDO196623 FNK196623 FXG196623 GHC196623 GQY196623 HAU196623 HKQ196623 HUM196623 IEI196623 IOE196623 IYA196623 JHW196623 JRS196623 KBO196623 KLK196623 KVG196623 LFC196623 LOY196623 LYU196623 MIQ196623 MSM196623 NCI196623 NME196623 NWA196623 OFW196623 OPS196623 OZO196623 PJK196623 PTG196623 QDC196623 QMY196623 QWU196623 RGQ196623 RQM196623 SAI196623 SKE196623 SUA196623 TDW196623 TNS196623 TXO196623 UHK196623 URG196623 VBC196623 VKY196623 VUU196623 WEQ196623 WOM196623 WYI196623 CA262159 LW262159 VS262159 AFO262159 APK262159 AZG262159 BJC262159 BSY262159 CCU262159 CMQ262159 CWM262159 DGI262159 DQE262159 EAA262159 EJW262159 ETS262159 FDO262159 FNK262159 FXG262159 GHC262159 GQY262159 HAU262159 HKQ262159 HUM262159 IEI262159 IOE262159 IYA262159 JHW262159 JRS262159 KBO262159 KLK262159 KVG262159 LFC262159 LOY262159 LYU262159 MIQ262159 MSM262159 NCI262159 NME262159 NWA262159 OFW262159 OPS262159 OZO262159 PJK262159 PTG262159 QDC262159 QMY262159 QWU262159 RGQ262159 RQM262159 SAI262159 SKE262159 SUA262159 TDW262159 TNS262159 TXO262159 UHK262159 URG262159 VBC262159 VKY262159 VUU262159 WEQ262159 WOM262159 WYI262159 CA327695 LW327695 VS327695 AFO327695 APK327695 AZG327695 BJC327695 BSY327695 CCU327695 CMQ327695 CWM327695 DGI327695 DQE327695 EAA327695 EJW327695 ETS327695 FDO327695 FNK327695 FXG327695 GHC327695 GQY327695 HAU327695 HKQ327695 HUM327695 IEI327695 IOE327695 IYA327695 JHW327695 JRS327695 KBO327695 KLK327695 KVG327695 LFC327695 LOY327695 LYU327695 MIQ327695 MSM327695 NCI327695 NME327695 NWA327695 OFW327695 OPS327695 OZO327695 PJK327695 PTG327695 QDC327695 QMY327695 QWU327695 RGQ327695 RQM327695 SAI327695 SKE327695 SUA327695 TDW327695 TNS327695 TXO327695 UHK327695 URG327695 VBC327695 VKY327695 VUU327695 WEQ327695 WOM327695 WYI327695 CA393231 LW393231 VS393231 AFO393231 APK393231 AZG393231 BJC393231 BSY393231 CCU393231 CMQ393231 CWM393231 DGI393231 DQE393231 EAA393231 EJW393231 ETS393231 FDO393231 FNK393231 FXG393231 GHC393231 GQY393231 HAU393231 HKQ393231 HUM393231 IEI393231 IOE393231 IYA393231 JHW393231 JRS393231 KBO393231 KLK393231 KVG393231 LFC393231 LOY393231 LYU393231 MIQ393231 MSM393231 NCI393231 NME393231 NWA393231 OFW393231 OPS393231 OZO393231 PJK393231 PTG393231 QDC393231 QMY393231 QWU393231 RGQ393231 RQM393231 SAI393231 SKE393231 SUA393231 TDW393231 TNS393231 TXO393231 UHK393231 URG393231 VBC393231 VKY393231 VUU393231 WEQ393231 WOM393231 WYI393231 CA458767 LW458767 VS458767 AFO458767 APK458767 AZG458767 BJC458767 BSY458767 CCU458767 CMQ458767 CWM458767 DGI458767 DQE458767 EAA458767 EJW458767 ETS458767 FDO458767 FNK458767 FXG458767 GHC458767 GQY458767 HAU458767 HKQ458767 HUM458767 IEI458767 IOE458767 IYA458767 JHW458767 JRS458767 KBO458767 KLK458767 KVG458767 LFC458767 LOY458767 LYU458767 MIQ458767 MSM458767 NCI458767 NME458767 NWA458767 OFW458767 OPS458767 OZO458767 PJK458767 PTG458767 QDC458767 QMY458767 QWU458767 RGQ458767 RQM458767 SAI458767 SKE458767 SUA458767 TDW458767 TNS458767 TXO458767 UHK458767 URG458767 VBC458767 VKY458767 VUU458767 WEQ458767 WOM458767 WYI458767 CA524303 LW524303 VS524303 AFO524303 APK524303 AZG524303 BJC524303 BSY524303 CCU524303 CMQ524303 CWM524303 DGI524303 DQE524303 EAA524303 EJW524303 ETS524303 FDO524303 FNK524303 FXG524303 GHC524303 GQY524303 HAU524303 HKQ524303 HUM524303 IEI524303 IOE524303 IYA524303 JHW524303 JRS524303 KBO524303 KLK524303 KVG524303 LFC524303 LOY524303 LYU524303 MIQ524303 MSM524303 NCI524303 NME524303 NWA524303 OFW524303 OPS524303 OZO524303 PJK524303 PTG524303 QDC524303 QMY524303 QWU524303 RGQ524303 RQM524303 SAI524303 SKE524303 SUA524303 TDW524303 TNS524303 TXO524303 UHK524303 URG524303 VBC524303 VKY524303 VUU524303 WEQ524303 WOM524303 WYI524303 CA589839 LW589839 VS589839 AFO589839 APK589839 AZG589839 BJC589839 BSY589839 CCU589839 CMQ589839 CWM589839 DGI589839 DQE589839 EAA589839 EJW589839 ETS589839 FDO589839 FNK589839 FXG589839 GHC589839 GQY589839 HAU589839 HKQ589839 HUM589839 IEI589839 IOE589839 IYA589839 JHW589839 JRS589839 KBO589839 KLK589839 KVG589839 LFC589839 LOY589839 LYU589839 MIQ589839 MSM589839 NCI589839 NME589839 NWA589839 OFW589839 OPS589839 OZO589839 PJK589839 PTG589839 QDC589839 QMY589839 QWU589839 RGQ589839 RQM589839 SAI589839 SKE589839 SUA589839 TDW589839 TNS589839 TXO589839 UHK589839 URG589839 VBC589839 VKY589839 VUU589839 WEQ589839 WOM589839 WYI589839 CA655375 LW655375 VS655375 AFO655375 APK655375 AZG655375 BJC655375 BSY655375 CCU655375 CMQ655375 CWM655375 DGI655375 DQE655375 EAA655375 EJW655375 ETS655375 FDO655375 FNK655375 FXG655375 GHC655375 GQY655375 HAU655375 HKQ655375 HUM655375 IEI655375 IOE655375 IYA655375 JHW655375 JRS655375 KBO655375 KLK655375 KVG655375 LFC655375 LOY655375 LYU655375 MIQ655375 MSM655375 NCI655375 NME655375 NWA655375 OFW655375 OPS655375 OZO655375 PJK655375 PTG655375 QDC655375 QMY655375 QWU655375 RGQ655375 RQM655375 SAI655375 SKE655375 SUA655375 TDW655375 TNS655375 TXO655375 UHK655375 URG655375 VBC655375 VKY655375 VUU655375 WEQ655375 WOM655375 WYI655375 CA720911 LW720911 VS720911 AFO720911 APK720911 AZG720911 BJC720911 BSY720911 CCU720911 CMQ720911 CWM720911 DGI720911 DQE720911 EAA720911 EJW720911 ETS720911 FDO720911 FNK720911 FXG720911 GHC720911 GQY720911 HAU720911 HKQ720911 HUM720911 IEI720911 IOE720911 IYA720911 JHW720911 JRS720911 KBO720911 KLK720911 KVG720911 LFC720911 LOY720911 LYU720911 MIQ720911 MSM720911 NCI720911 NME720911 NWA720911 OFW720911 OPS720911 OZO720911 PJK720911 PTG720911 QDC720911 QMY720911 QWU720911 RGQ720911 RQM720911 SAI720911 SKE720911 SUA720911 TDW720911 TNS720911 TXO720911 UHK720911 URG720911 VBC720911 VKY720911 VUU720911 WEQ720911 WOM720911 WYI720911 CA786447 LW786447 VS786447 AFO786447 APK786447 AZG786447 BJC786447 BSY786447 CCU786447 CMQ786447 CWM786447 DGI786447 DQE786447 EAA786447 EJW786447 ETS786447 FDO786447 FNK786447 FXG786447 GHC786447 GQY786447 HAU786447 HKQ786447 HUM786447 IEI786447 IOE786447 IYA786447 JHW786447 JRS786447 KBO786447 KLK786447 KVG786447 LFC786447 LOY786447 LYU786447 MIQ786447 MSM786447 NCI786447 NME786447 NWA786447 OFW786447 OPS786447 OZO786447 PJK786447 PTG786447 QDC786447 QMY786447 QWU786447 RGQ786447 RQM786447 SAI786447 SKE786447 SUA786447 TDW786447 TNS786447 TXO786447 UHK786447 URG786447 VBC786447 VKY786447 VUU786447 WEQ786447 WOM786447 WYI786447 CA851983 LW851983 VS851983 AFO851983 APK851983 AZG851983 BJC851983 BSY851983 CCU851983 CMQ851983 CWM851983 DGI851983 DQE851983 EAA851983 EJW851983 ETS851983 FDO851983 FNK851983 FXG851983 GHC851983 GQY851983 HAU851983 HKQ851983 HUM851983 IEI851983 IOE851983 IYA851983 JHW851983 JRS851983 KBO851983 KLK851983 KVG851983 LFC851983 LOY851983 LYU851983 MIQ851983 MSM851983 NCI851983 NME851983 NWA851983 OFW851983 OPS851983 OZO851983 PJK851983 PTG851983 QDC851983 QMY851983 QWU851983 RGQ851983 RQM851983 SAI851983 SKE851983 SUA851983 TDW851983 TNS851983 TXO851983 UHK851983 URG851983 VBC851983 VKY851983 VUU851983 WEQ851983 WOM851983 WYI851983 CA917519 LW917519 VS917519 AFO917519 APK917519 AZG917519 BJC917519 BSY917519 CCU917519 CMQ917519 CWM917519 DGI917519 DQE917519 EAA917519 EJW917519 ETS917519 FDO917519 FNK917519 FXG917519 GHC917519 GQY917519 HAU917519 HKQ917519 HUM917519 IEI917519 IOE917519 IYA917519 JHW917519 JRS917519 KBO917519 KLK917519 KVG917519 LFC917519 LOY917519 LYU917519 MIQ917519 MSM917519 NCI917519 NME917519 NWA917519 OFW917519 OPS917519 OZO917519 PJK917519 PTG917519 QDC917519 QMY917519 QWU917519 RGQ917519 RQM917519 SAI917519 SKE917519 SUA917519 TDW917519 TNS917519 TXO917519 UHK917519 URG917519 VBC917519 VKY917519 VUU917519 WEQ917519 WOM917519 WYI917519 CA983055 LW983055 VS983055 AFO983055 APK983055 AZG983055 BJC983055 BSY983055 CCU983055 CMQ983055 CWM983055 DGI983055 DQE983055 EAA983055 EJW983055 ETS983055 FDO983055 FNK983055 FXG983055 GHC983055 GQY983055 HAU983055 HKQ983055 HUM983055 IEI983055 IOE983055 IYA983055 JHW983055 JRS983055 KBO983055 KLK983055 KVG983055 LFC983055 LOY983055 LYU983055 MIQ983055 MSM983055 NCI983055 NME983055 NWA983055 OFW983055 OPS983055 OZO983055 PJK983055 PTG983055 QDC983055 QMY983055 QWU983055 RGQ983055 RQM983055 SAI983055 SKE983055 SUA983055 TDW983055 TNS983055 TXO983055 UHK983055 URG983055 VBC983055 VKY983055 VUU983055 WEQ983055 WOM983055 WYI983055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F983058 F917522 F851986 F786450 F720914 F655378 F589842 F524306 F458770 F393234 F327698 F262162 F196626 F131090 F65554 F19 B19:C19">
      <formula1>"Yes, No"</formula1>
    </dataValidation>
    <dataValidation type="list" allowBlank="1" showInputMessage="1" showErrorMessage="1" prompt="Select from List." sqref="XCI983042:XDH983042 GA3:GZ3 XCI3:XDH3 WSM3:WTL3 WIQ3:WJP3 VYU3:VZT3 VOY3:VPX3 VFC3:VGB3 UVG3:UWF3 ULK3:UMJ3 UBO3:UCN3 TRS3:TSR3 THW3:TIV3 SYA3:SYZ3 SOE3:SPD3 SEI3:SFH3 RUM3:RVL3 RKQ3:RLP3 RAU3:RBT3 QQY3:QRX3 QHC3:QIB3 PXG3:PYF3 PNK3:POJ3 PDO3:PEN3 OTS3:OUR3 OJW3:OKV3 OAA3:OAZ3 NQE3:NRD3 NGI3:NHH3 MWM3:MXL3 MMQ3:MNP3 MCU3:MDT3 LSY3:LTX3 LJC3:LKB3 KZG3:LAF3 KPK3:KQJ3 KFO3:KGN3 JVS3:JWR3 JLW3:JMV3 JCA3:JCZ3 ISE3:ITD3 III3:IJH3 HYM3:HZL3 HOQ3:HPP3 HEU3:HFT3 GUY3:GVX3 GLC3:GMB3 GBG3:GCF3 FRK3:FSJ3 FHO3:FIN3 EXS3:EYR3 ENW3:EOV3 EEA3:EEZ3 DUE3:DVD3 DKI3:DLH3 DAM3:DBL3 CQQ3:CRP3 CGU3:CHT3 BWY3:BXX3 BNC3:BOB3 BDG3:BEF3 ATK3:AUJ3 AJO3:AKN3 ZS3:AAR3 PW3:QV3 GA65538:GZ65538 PW65538:QV65538 ZS65538:AAR65538 AJO65538:AKN65538 ATK65538:AUJ65538 BDG65538:BEF65538 BNC65538:BOB65538 BWY65538:BXX65538 CGU65538:CHT65538 CQQ65538:CRP65538 DAM65538:DBL65538 DKI65538:DLH65538 DUE65538:DVD65538 EEA65538:EEZ65538 ENW65538:EOV65538 EXS65538:EYR65538 FHO65538:FIN65538 FRK65538:FSJ65538 GBG65538:GCF65538 GLC65538:GMB65538 GUY65538:GVX65538 HEU65538:HFT65538 HOQ65538:HPP65538 HYM65538:HZL65538 III65538:IJH65538 ISE65538:ITD65538 JCA65538:JCZ65538 JLW65538:JMV65538 JVS65538:JWR65538 KFO65538:KGN65538 KPK65538:KQJ65538 KZG65538:LAF65538 LJC65538:LKB65538 LSY65538:LTX65538 MCU65538:MDT65538 MMQ65538:MNP65538 MWM65538:MXL65538 NGI65538:NHH65538 NQE65538:NRD65538 OAA65538:OAZ65538 OJW65538:OKV65538 OTS65538:OUR65538 PDO65538:PEN65538 PNK65538:POJ65538 PXG65538:PYF65538 QHC65538:QIB65538 QQY65538:QRX65538 RAU65538:RBT65538 RKQ65538:RLP65538 RUM65538:RVL65538 SEI65538:SFH65538 SOE65538:SPD65538 SYA65538:SYZ65538 THW65538:TIV65538 TRS65538:TSR65538 UBO65538:UCN65538 ULK65538:UMJ65538 UVG65538:UWF65538 VFC65538:VGB65538 VOY65538:VPX65538 VYU65538:VZT65538 WIQ65538:WJP65538 WSM65538:WTL65538 XCI65538:XDH65538 GA131074:GZ131074 PW131074:QV131074 ZS131074:AAR131074 AJO131074:AKN131074 ATK131074:AUJ131074 BDG131074:BEF131074 BNC131074:BOB131074 BWY131074:BXX131074 CGU131074:CHT131074 CQQ131074:CRP131074 DAM131074:DBL131074 DKI131074:DLH131074 DUE131074:DVD131074 EEA131074:EEZ131074 ENW131074:EOV131074 EXS131074:EYR131074 FHO131074:FIN131074 FRK131074:FSJ131074 GBG131074:GCF131074 GLC131074:GMB131074 GUY131074:GVX131074 HEU131074:HFT131074 HOQ131074:HPP131074 HYM131074:HZL131074 III131074:IJH131074 ISE131074:ITD131074 JCA131074:JCZ131074 JLW131074:JMV131074 JVS131074:JWR131074 KFO131074:KGN131074 KPK131074:KQJ131074 KZG131074:LAF131074 LJC131074:LKB131074 LSY131074:LTX131074 MCU131074:MDT131074 MMQ131074:MNP131074 MWM131074:MXL131074 NGI131074:NHH131074 NQE131074:NRD131074 OAA131074:OAZ131074 OJW131074:OKV131074 OTS131074:OUR131074 PDO131074:PEN131074 PNK131074:POJ131074 PXG131074:PYF131074 QHC131074:QIB131074 QQY131074:QRX131074 RAU131074:RBT131074 RKQ131074:RLP131074 RUM131074:RVL131074 SEI131074:SFH131074 SOE131074:SPD131074 SYA131074:SYZ131074 THW131074:TIV131074 TRS131074:TSR131074 UBO131074:UCN131074 ULK131074:UMJ131074 UVG131074:UWF131074 VFC131074:VGB131074 VOY131074:VPX131074 VYU131074:VZT131074 WIQ131074:WJP131074 WSM131074:WTL131074 XCI131074:XDH131074 GA196610:GZ196610 PW196610:QV196610 ZS196610:AAR196610 AJO196610:AKN196610 ATK196610:AUJ196610 BDG196610:BEF196610 BNC196610:BOB196610 BWY196610:BXX196610 CGU196610:CHT196610 CQQ196610:CRP196610 DAM196610:DBL196610 DKI196610:DLH196610 DUE196610:DVD196610 EEA196610:EEZ196610 ENW196610:EOV196610 EXS196610:EYR196610 FHO196610:FIN196610 FRK196610:FSJ196610 GBG196610:GCF196610 GLC196610:GMB196610 GUY196610:GVX196610 HEU196610:HFT196610 HOQ196610:HPP196610 HYM196610:HZL196610 III196610:IJH196610 ISE196610:ITD196610 JCA196610:JCZ196610 JLW196610:JMV196610 JVS196610:JWR196610 KFO196610:KGN196610 KPK196610:KQJ196610 KZG196610:LAF196610 LJC196610:LKB196610 LSY196610:LTX196610 MCU196610:MDT196610 MMQ196610:MNP196610 MWM196610:MXL196610 NGI196610:NHH196610 NQE196610:NRD196610 OAA196610:OAZ196610 OJW196610:OKV196610 OTS196610:OUR196610 PDO196610:PEN196610 PNK196610:POJ196610 PXG196610:PYF196610 QHC196610:QIB196610 QQY196610:QRX196610 RAU196610:RBT196610 RKQ196610:RLP196610 RUM196610:RVL196610 SEI196610:SFH196610 SOE196610:SPD196610 SYA196610:SYZ196610 THW196610:TIV196610 TRS196610:TSR196610 UBO196610:UCN196610 ULK196610:UMJ196610 UVG196610:UWF196610 VFC196610:VGB196610 VOY196610:VPX196610 VYU196610:VZT196610 WIQ196610:WJP196610 WSM196610:WTL196610 XCI196610:XDH196610 GA262146:GZ262146 PW262146:QV262146 ZS262146:AAR262146 AJO262146:AKN262146 ATK262146:AUJ262146 BDG262146:BEF262146 BNC262146:BOB262146 BWY262146:BXX262146 CGU262146:CHT262146 CQQ262146:CRP262146 DAM262146:DBL262146 DKI262146:DLH262146 DUE262146:DVD262146 EEA262146:EEZ262146 ENW262146:EOV262146 EXS262146:EYR262146 FHO262146:FIN262146 FRK262146:FSJ262146 GBG262146:GCF262146 GLC262146:GMB262146 GUY262146:GVX262146 HEU262146:HFT262146 HOQ262146:HPP262146 HYM262146:HZL262146 III262146:IJH262146 ISE262146:ITD262146 JCA262146:JCZ262146 JLW262146:JMV262146 JVS262146:JWR262146 KFO262146:KGN262146 KPK262146:KQJ262146 KZG262146:LAF262146 LJC262146:LKB262146 LSY262146:LTX262146 MCU262146:MDT262146 MMQ262146:MNP262146 MWM262146:MXL262146 NGI262146:NHH262146 NQE262146:NRD262146 OAA262146:OAZ262146 OJW262146:OKV262146 OTS262146:OUR262146 PDO262146:PEN262146 PNK262146:POJ262146 PXG262146:PYF262146 QHC262146:QIB262146 QQY262146:QRX262146 RAU262146:RBT262146 RKQ262146:RLP262146 RUM262146:RVL262146 SEI262146:SFH262146 SOE262146:SPD262146 SYA262146:SYZ262146 THW262146:TIV262146 TRS262146:TSR262146 UBO262146:UCN262146 ULK262146:UMJ262146 UVG262146:UWF262146 VFC262146:VGB262146 VOY262146:VPX262146 VYU262146:VZT262146 WIQ262146:WJP262146 WSM262146:WTL262146 XCI262146:XDH262146 GA327682:GZ327682 PW327682:QV327682 ZS327682:AAR327682 AJO327682:AKN327682 ATK327682:AUJ327682 BDG327682:BEF327682 BNC327682:BOB327682 BWY327682:BXX327682 CGU327682:CHT327682 CQQ327682:CRP327682 DAM327682:DBL327682 DKI327682:DLH327682 DUE327682:DVD327682 EEA327682:EEZ327682 ENW327682:EOV327682 EXS327682:EYR327682 FHO327682:FIN327682 FRK327682:FSJ327682 GBG327682:GCF327682 GLC327682:GMB327682 GUY327682:GVX327682 HEU327682:HFT327682 HOQ327682:HPP327682 HYM327682:HZL327682 III327682:IJH327682 ISE327682:ITD327682 JCA327682:JCZ327682 JLW327682:JMV327682 JVS327682:JWR327682 KFO327682:KGN327682 KPK327682:KQJ327682 KZG327682:LAF327682 LJC327682:LKB327682 LSY327682:LTX327682 MCU327682:MDT327682 MMQ327682:MNP327682 MWM327682:MXL327682 NGI327682:NHH327682 NQE327682:NRD327682 OAA327682:OAZ327682 OJW327682:OKV327682 OTS327682:OUR327682 PDO327682:PEN327682 PNK327682:POJ327682 PXG327682:PYF327682 QHC327682:QIB327682 QQY327682:QRX327682 RAU327682:RBT327682 RKQ327682:RLP327682 RUM327682:RVL327682 SEI327682:SFH327682 SOE327682:SPD327682 SYA327682:SYZ327682 THW327682:TIV327682 TRS327682:TSR327682 UBO327682:UCN327682 ULK327682:UMJ327682 UVG327682:UWF327682 VFC327682:VGB327682 VOY327682:VPX327682 VYU327682:VZT327682 WIQ327682:WJP327682 WSM327682:WTL327682 XCI327682:XDH327682 GA393218:GZ393218 PW393218:QV393218 ZS393218:AAR393218 AJO393218:AKN393218 ATK393218:AUJ393218 BDG393218:BEF393218 BNC393218:BOB393218 BWY393218:BXX393218 CGU393218:CHT393218 CQQ393218:CRP393218 DAM393218:DBL393218 DKI393218:DLH393218 DUE393218:DVD393218 EEA393218:EEZ393218 ENW393218:EOV393218 EXS393218:EYR393218 FHO393218:FIN393218 FRK393218:FSJ393218 GBG393218:GCF393218 GLC393218:GMB393218 GUY393218:GVX393218 HEU393218:HFT393218 HOQ393218:HPP393218 HYM393218:HZL393218 III393218:IJH393218 ISE393218:ITD393218 JCA393218:JCZ393218 JLW393218:JMV393218 JVS393218:JWR393218 KFO393218:KGN393218 KPK393218:KQJ393218 KZG393218:LAF393218 LJC393218:LKB393218 LSY393218:LTX393218 MCU393218:MDT393218 MMQ393218:MNP393218 MWM393218:MXL393218 NGI393218:NHH393218 NQE393218:NRD393218 OAA393218:OAZ393218 OJW393218:OKV393218 OTS393218:OUR393218 PDO393218:PEN393218 PNK393218:POJ393218 PXG393218:PYF393218 QHC393218:QIB393218 QQY393218:QRX393218 RAU393218:RBT393218 RKQ393218:RLP393218 RUM393218:RVL393218 SEI393218:SFH393218 SOE393218:SPD393218 SYA393218:SYZ393218 THW393218:TIV393218 TRS393218:TSR393218 UBO393218:UCN393218 ULK393218:UMJ393218 UVG393218:UWF393218 VFC393218:VGB393218 VOY393218:VPX393218 VYU393218:VZT393218 WIQ393218:WJP393218 WSM393218:WTL393218 XCI393218:XDH393218 GA458754:GZ458754 PW458754:QV458754 ZS458754:AAR458754 AJO458754:AKN458754 ATK458754:AUJ458754 BDG458754:BEF458754 BNC458754:BOB458754 BWY458754:BXX458754 CGU458754:CHT458754 CQQ458754:CRP458754 DAM458754:DBL458754 DKI458754:DLH458754 DUE458754:DVD458754 EEA458754:EEZ458754 ENW458754:EOV458754 EXS458754:EYR458754 FHO458754:FIN458754 FRK458754:FSJ458754 GBG458754:GCF458754 GLC458754:GMB458754 GUY458754:GVX458754 HEU458754:HFT458754 HOQ458754:HPP458754 HYM458754:HZL458754 III458754:IJH458754 ISE458754:ITD458754 JCA458754:JCZ458754 JLW458754:JMV458754 JVS458754:JWR458754 KFO458754:KGN458754 KPK458754:KQJ458754 KZG458754:LAF458754 LJC458754:LKB458754 LSY458754:LTX458754 MCU458754:MDT458754 MMQ458754:MNP458754 MWM458754:MXL458754 NGI458754:NHH458754 NQE458754:NRD458754 OAA458754:OAZ458754 OJW458754:OKV458754 OTS458754:OUR458754 PDO458754:PEN458754 PNK458754:POJ458754 PXG458754:PYF458754 QHC458754:QIB458754 QQY458754:QRX458754 RAU458754:RBT458754 RKQ458754:RLP458754 RUM458754:RVL458754 SEI458754:SFH458754 SOE458754:SPD458754 SYA458754:SYZ458754 THW458754:TIV458754 TRS458754:TSR458754 UBO458754:UCN458754 ULK458754:UMJ458754 UVG458754:UWF458754 VFC458754:VGB458754 VOY458754:VPX458754 VYU458754:VZT458754 WIQ458754:WJP458754 WSM458754:WTL458754 XCI458754:XDH458754 GA524290:GZ524290 PW524290:QV524290 ZS524290:AAR524290 AJO524290:AKN524290 ATK524290:AUJ524290 BDG524290:BEF524290 BNC524290:BOB524290 BWY524290:BXX524290 CGU524290:CHT524290 CQQ524290:CRP524290 DAM524290:DBL524290 DKI524290:DLH524290 DUE524290:DVD524290 EEA524290:EEZ524290 ENW524290:EOV524290 EXS524290:EYR524290 FHO524290:FIN524290 FRK524290:FSJ524290 GBG524290:GCF524290 GLC524290:GMB524290 GUY524290:GVX524290 HEU524290:HFT524290 HOQ524290:HPP524290 HYM524290:HZL524290 III524290:IJH524290 ISE524290:ITD524290 JCA524290:JCZ524290 JLW524290:JMV524290 JVS524290:JWR524290 KFO524290:KGN524290 KPK524290:KQJ524290 KZG524290:LAF524290 LJC524290:LKB524290 LSY524290:LTX524290 MCU524290:MDT524290 MMQ524290:MNP524290 MWM524290:MXL524290 NGI524290:NHH524290 NQE524290:NRD524290 OAA524290:OAZ524290 OJW524290:OKV524290 OTS524290:OUR524290 PDO524290:PEN524290 PNK524290:POJ524290 PXG524290:PYF524290 QHC524290:QIB524290 QQY524290:QRX524290 RAU524290:RBT524290 RKQ524290:RLP524290 RUM524290:RVL524290 SEI524290:SFH524290 SOE524290:SPD524290 SYA524290:SYZ524290 THW524290:TIV524290 TRS524290:TSR524290 UBO524290:UCN524290 ULK524290:UMJ524290 UVG524290:UWF524290 VFC524290:VGB524290 VOY524290:VPX524290 VYU524290:VZT524290 WIQ524290:WJP524290 WSM524290:WTL524290 XCI524290:XDH524290 GA589826:GZ589826 PW589826:QV589826 ZS589826:AAR589826 AJO589826:AKN589826 ATK589826:AUJ589826 BDG589826:BEF589826 BNC589826:BOB589826 BWY589826:BXX589826 CGU589826:CHT589826 CQQ589826:CRP589826 DAM589826:DBL589826 DKI589826:DLH589826 DUE589826:DVD589826 EEA589826:EEZ589826 ENW589826:EOV589826 EXS589826:EYR589826 FHO589826:FIN589826 FRK589826:FSJ589826 GBG589826:GCF589826 GLC589826:GMB589826 GUY589826:GVX589826 HEU589826:HFT589826 HOQ589826:HPP589826 HYM589826:HZL589826 III589826:IJH589826 ISE589826:ITD589826 JCA589826:JCZ589826 JLW589826:JMV589826 JVS589826:JWR589826 KFO589826:KGN589826 KPK589826:KQJ589826 KZG589826:LAF589826 LJC589826:LKB589826 LSY589826:LTX589826 MCU589826:MDT589826 MMQ589826:MNP589826 MWM589826:MXL589826 NGI589826:NHH589826 NQE589826:NRD589826 OAA589826:OAZ589826 OJW589826:OKV589826 OTS589826:OUR589826 PDO589826:PEN589826 PNK589826:POJ589826 PXG589826:PYF589826 QHC589826:QIB589826 QQY589826:QRX589826 RAU589826:RBT589826 RKQ589826:RLP589826 RUM589826:RVL589826 SEI589826:SFH589826 SOE589826:SPD589826 SYA589826:SYZ589826 THW589826:TIV589826 TRS589826:TSR589826 UBO589826:UCN589826 ULK589826:UMJ589826 UVG589826:UWF589826 VFC589826:VGB589826 VOY589826:VPX589826 VYU589826:VZT589826 WIQ589826:WJP589826 WSM589826:WTL589826 XCI589826:XDH589826 GA655362:GZ655362 PW655362:QV655362 ZS655362:AAR655362 AJO655362:AKN655362 ATK655362:AUJ655362 BDG655362:BEF655362 BNC655362:BOB655362 BWY655362:BXX655362 CGU655362:CHT655362 CQQ655362:CRP655362 DAM655362:DBL655362 DKI655362:DLH655362 DUE655362:DVD655362 EEA655362:EEZ655362 ENW655362:EOV655362 EXS655362:EYR655362 FHO655362:FIN655362 FRK655362:FSJ655362 GBG655362:GCF655362 GLC655362:GMB655362 GUY655362:GVX655362 HEU655362:HFT655362 HOQ655362:HPP655362 HYM655362:HZL655362 III655362:IJH655362 ISE655362:ITD655362 JCA655362:JCZ655362 JLW655362:JMV655362 JVS655362:JWR655362 KFO655362:KGN655362 KPK655362:KQJ655362 KZG655362:LAF655362 LJC655362:LKB655362 LSY655362:LTX655362 MCU655362:MDT655362 MMQ655362:MNP655362 MWM655362:MXL655362 NGI655362:NHH655362 NQE655362:NRD655362 OAA655362:OAZ655362 OJW655362:OKV655362 OTS655362:OUR655362 PDO655362:PEN655362 PNK655362:POJ655362 PXG655362:PYF655362 QHC655362:QIB655362 QQY655362:QRX655362 RAU655362:RBT655362 RKQ655362:RLP655362 RUM655362:RVL655362 SEI655362:SFH655362 SOE655362:SPD655362 SYA655362:SYZ655362 THW655362:TIV655362 TRS655362:TSR655362 UBO655362:UCN655362 ULK655362:UMJ655362 UVG655362:UWF655362 VFC655362:VGB655362 VOY655362:VPX655362 VYU655362:VZT655362 WIQ655362:WJP655362 WSM655362:WTL655362 XCI655362:XDH655362 GA720898:GZ720898 PW720898:QV720898 ZS720898:AAR720898 AJO720898:AKN720898 ATK720898:AUJ720898 BDG720898:BEF720898 BNC720898:BOB720898 BWY720898:BXX720898 CGU720898:CHT720898 CQQ720898:CRP720898 DAM720898:DBL720898 DKI720898:DLH720898 DUE720898:DVD720898 EEA720898:EEZ720898 ENW720898:EOV720898 EXS720898:EYR720898 FHO720898:FIN720898 FRK720898:FSJ720898 GBG720898:GCF720898 GLC720898:GMB720898 GUY720898:GVX720898 HEU720898:HFT720898 HOQ720898:HPP720898 HYM720898:HZL720898 III720898:IJH720898 ISE720898:ITD720898 JCA720898:JCZ720898 JLW720898:JMV720898 JVS720898:JWR720898 KFO720898:KGN720898 KPK720898:KQJ720898 KZG720898:LAF720898 LJC720898:LKB720898 LSY720898:LTX720898 MCU720898:MDT720898 MMQ720898:MNP720898 MWM720898:MXL720898 NGI720898:NHH720898 NQE720898:NRD720898 OAA720898:OAZ720898 OJW720898:OKV720898 OTS720898:OUR720898 PDO720898:PEN720898 PNK720898:POJ720898 PXG720898:PYF720898 QHC720898:QIB720898 QQY720898:QRX720898 RAU720898:RBT720898 RKQ720898:RLP720898 RUM720898:RVL720898 SEI720898:SFH720898 SOE720898:SPD720898 SYA720898:SYZ720898 THW720898:TIV720898 TRS720898:TSR720898 UBO720898:UCN720898 ULK720898:UMJ720898 UVG720898:UWF720898 VFC720898:VGB720898 VOY720898:VPX720898 VYU720898:VZT720898 WIQ720898:WJP720898 WSM720898:WTL720898 XCI720898:XDH720898 GA786434:GZ786434 PW786434:QV786434 ZS786434:AAR786434 AJO786434:AKN786434 ATK786434:AUJ786434 BDG786434:BEF786434 BNC786434:BOB786434 BWY786434:BXX786434 CGU786434:CHT786434 CQQ786434:CRP786434 DAM786434:DBL786434 DKI786434:DLH786434 DUE786434:DVD786434 EEA786434:EEZ786434 ENW786434:EOV786434 EXS786434:EYR786434 FHO786434:FIN786434 FRK786434:FSJ786434 GBG786434:GCF786434 GLC786434:GMB786434 GUY786434:GVX786434 HEU786434:HFT786434 HOQ786434:HPP786434 HYM786434:HZL786434 III786434:IJH786434 ISE786434:ITD786434 JCA786434:JCZ786434 JLW786434:JMV786434 JVS786434:JWR786434 KFO786434:KGN786434 KPK786434:KQJ786434 KZG786434:LAF786434 LJC786434:LKB786434 LSY786434:LTX786434 MCU786434:MDT786434 MMQ786434:MNP786434 MWM786434:MXL786434 NGI786434:NHH786434 NQE786434:NRD786434 OAA786434:OAZ786434 OJW786434:OKV786434 OTS786434:OUR786434 PDO786434:PEN786434 PNK786434:POJ786434 PXG786434:PYF786434 QHC786434:QIB786434 QQY786434:QRX786434 RAU786434:RBT786434 RKQ786434:RLP786434 RUM786434:RVL786434 SEI786434:SFH786434 SOE786434:SPD786434 SYA786434:SYZ786434 THW786434:TIV786434 TRS786434:TSR786434 UBO786434:UCN786434 ULK786434:UMJ786434 UVG786434:UWF786434 VFC786434:VGB786434 VOY786434:VPX786434 VYU786434:VZT786434 WIQ786434:WJP786434 WSM786434:WTL786434 XCI786434:XDH786434 GA851970:GZ851970 PW851970:QV851970 ZS851970:AAR851970 AJO851970:AKN851970 ATK851970:AUJ851970 BDG851970:BEF851970 BNC851970:BOB851970 BWY851970:BXX851970 CGU851970:CHT851970 CQQ851970:CRP851970 DAM851970:DBL851970 DKI851970:DLH851970 DUE851970:DVD851970 EEA851970:EEZ851970 ENW851970:EOV851970 EXS851970:EYR851970 FHO851970:FIN851970 FRK851970:FSJ851970 GBG851970:GCF851970 GLC851970:GMB851970 GUY851970:GVX851970 HEU851970:HFT851970 HOQ851970:HPP851970 HYM851970:HZL851970 III851970:IJH851970 ISE851970:ITD851970 JCA851970:JCZ851970 JLW851970:JMV851970 JVS851970:JWR851970 KFO851970:KGN851970 KPK851970:KQJ851970 KZG851970:LAF851970 LJC851970:LKB851970 LSY851970:LTX851970 MCU851970:MDT851970 MMQ851970:MNP851970 MWM851970:MXL851970 NGI851970:NHH851970 NQE851970:NRD851970 OAA851970:OAZ851970 OJW851970:OKV851970 OTS851970:OUR851970 PDO851970:PEN851970 PNK851970:POJ851970 PXG851970:PYF851970 QHC851970:QIB851970 QQY851970:QRX851970 RAU851970:RBT851970 RKQ851970:RLP851970 RUM851970:RVL851970 SEI851970:SFH851970 SOE851970:SPD851970 SYA851970:SYZ851970 THW851970:TIV851970 TRS851970:TSR851970 UBO851970:UCN851970 ULK851970:UMJ851970 UVG851970:UWF851970 VFC851970:VGB851970 VOY851970:VPX851970 VYU851970:VZT851970 WIQ851970:WJP851970 WSM851970:WTL851970 XCI851970:XDH851970 GA917506:GZ917506 PW917506:QV917506 ZS917506:AAR917506 AJO917506:AKN917506 ATK917506:AUJ917506 BDG917506:BEF917506 BNC917506:BOB917506 BWY917506:BXX917506 CGU917506:CHT917506 CQQ917506:CRP917506 DAM917506:DBL917506 DKI917506:DLH917506 DUE917506:DVD917506 EEA917506:EEZ917506 ENW917506:EOV917506 EXS917506:EYR917506 FHO917506:FIN917506 FRK917506:FSJ917506 GBG917506:GCF917506 GLC917506:GMB917506 GUY917506:GVX917506 HEU917506:HFT917506 HOQ917506:HPP917506 HYM917506:HZL917506 III917506:IJH917506 ISE917506:ITD917506 JCA917506:JCZ917506 JLW917506:JMV917506 JVS917506:JWR917506 KFO917506:KGN917506 KPK917506:KQJ917506 KZG917506:LAF917506 LJC917506:LKB917506 LSY917506:LTX917506 MCU917506:MDT917506 MMQ917506:MNP917506 MWM917506:MXL917506 NGI917506:NHH917506 NQE917506:NRD917506 OAA917506:OAZ917506 OJW917506:OKV917506 OTS917506:OUR917506 PDO917506:PEN917506 PNK917506:POJ917506 PXG917506:PYF917506 QHC917506:QIB917506 QQY917506:QRX917506 RAU917506:RBT917506 RKQ917506:RLP917506 RUM917506:RVL917506 SEI917506:SFH917506 SOE917506:SPD917506 SYA917506:SYZ917506 THW917506:TIV917506 TRS917506:TSR917506 UBO917506:UCN917506 ULK917506:UMJ917506 UVG917506:UWF917506 VFC917506:VGB917506 VOY917506:VPX917506 VYU917506:VZT917506 WIQ917506:WJP917506 WSM917506:WTL917506 XCI917506:XDH917506 GA983042:GZ983042 PW983042:QV983042 ZS983042:AAR983042 AJO983042:AKN983042 ATK983042:AUJ983042 BDG983042:BEF983042 BNC983042:BOB983042 BWY983042:BXX983042 CGU983042:CHT983042 CQQ983042:CRP983042 DAM983042:DBL983042 DKI983042:DLH983042 DUE983042:DVD983042 EEA983042:EEZ983042 ENW983042:EOV983042 EXS983042:EYR983042 FHO983042:FIN983042 FRK983042:FSJ983042 GBG983042:GCF983042 GLC983042:GMB983042 GUY983042:GVX983042 HEU983042:HFT983042 HOQ983042:HPP983042 HYM983042:HZL983042 III983042:IJH983042 ISE983042:ITD983042 JCA983042:JCZ983042 JLW983042:JMV983042 JVS983042:JWR983042 KFO983042:KGN983042 KPK983042:KQJ983042 KZG983042:LAF983042 LJC983042:LKB983042 LSY983042:LTX983042 MCU983042:MDT983042 MMQ983042:MNP983042 MWM983042:MXL983042 NGI983042:NHH983042 NQE983042:NRD983042 OAA983042:OAZ983042 OJW983042:OKV983042 OTS983042:OUR983042 PDO983042:PEN983042 PNK983042:POJ983042 PXG983042:PYF983042 QHC983042:QIB983042 QQY983042:QRX983042 RAU983042:RBT983042 RKQ983042:RLP983042 RUM983042:RVL983042 SEI983042:SFH983042 SOE983042:SPD983042 SYA983042:SYZ983042 THW983042:TIV983042 TRS983042:TSR983042 UBO983042:UCN983042 ULK983042:UMJ983042 UVG983042:UWF983042 VFC983042:VGB983042 VOY983042:VPX983042 VYU983042:VZT983042 WIQ983042:WJP983042 WSM983042:WTL983042">
      <formula1>LstSourseType</formula1>
    </dataValidation>
    <dataValidation type="list" allowBlank="1" showInputMessage="1" showErrorMessage="1" prompt="Select from list." sqref="B21">
      <formula1>lstOrigin</formula1>
    </dataValidation>
  </dataValidations>
  <hyperlinks>
    <hyperlink ref="B20" r:id="rId1"/>
    <hyperlink ref="K9" r:id="rId2" display="http://www.epa.gov/ttn/chief/net/2005inventory.html"/>
    <hyperlink ref="H20" r:id="rId3"/>
    <hyperlink ref="F20" r:id="rId4"/>
    <hyperlink ref="J20" r:id="rId5"/>
    <hyperlink ref="P20" r:id="rId6"/>
    <hyperlink ref="U20" r:id="rId7"/>
    <hyperlink ref="X20" r:id="rId8"/>
  </hyperlinks>
  <pageMargins left="0.25" right="0.25" top="0.5" bottom="0.5" header="0.3" footer="0.3"/>
  <pageSetup scale="99" orientation="landscape" r:id="rId9"/>
  <headerFooter alignWithMargins="0">
    <oddFooter>Page &amp;P&amp;R&amp;F</oddFooter>
  </headerFooter>
  <ignoredErrors>
    <ignoredError sqref="B11 C22 E22 F11:G11 H22 J22:K22 K7:L7 I11 C7:I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42"/>
  <sheetViews>
    <sheetView workbookViewId="0">
      <selection activeCell="C5" sqref="C5"/>
    </sheetView>
  </sheetViews>
  <sheetFormatPr defaultColWidth="9.140625" defaultRowHeight="15" x14ac:dyDescent="0.25"/>
  <cols>
    <col min="1" max="1" width="2.5703125" customWidth="1"/>
    <col min="2" max="2" width="24.42578125" customWidth="1"/>
    <col min="3" max="3" width="32.140625" customWidth="1"/>
    <col min="4" max="6" width="16.5703125" customWidth="1"/>
    <col min="7" max="7" width="94.2851562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532" t="s">
        <v>668</v>
      </c>
      <c r="B1" s="532"/>
      <c r="C1" s="532"/>
      <c r="D1" s="532"/>
      <c r="E1" s="532"/>
      <c r="F1" s="532"/>
      <c r="G1" s="532"/>
      <c r="H1" s="532"/>
      <c r="I1" s="532"/>
      <c r="J1" s="532"/>
      <c r="N1" s="10"/>
      <c r="O1" s="10"/>
      <c r="P1" s="10"/>
      <c r="Q1" s="10"/>
      <c r="R1" s="10"/>
      <c r="S1" s="10"/>
      <c r="T1" s="10"/>
      <c r="U1" s="10"/>
      <c r="V1" s="10"/>
      <c r="W1" s="10"/>
      <c r="X1" s="10"/>
      <c r="Y1" s="10"/>
      <c r="Z1" s="10"/>
      <c r="AA1" s="10"/>
      <c r="AB1" s="10"/>
      <c r="AC1" s="10"/>
      <c r="AD1" s="10"/>
      <c r="AE1" s="10"/>
      <c r="AF1" s="10"/>
      <c r="AG1" s="10"/>
      <c r="AH1" s="10"/>
      <c r="AI1" s="10"/>
      <c r="AJ1" s="10"/>
      <c r="AK1" s="10"/>
      <c r="AL1" s="10"/>
    </row>
    <row r="2" spans="1:38" s="3" customFormat="1" ht="21" thickBot="1" x14ac:dyDescent="0.35">
      <c r="A2" s="300"/>
      <c r="B2" s="300"/>
      <c r="C2" s="300"/>
      <c r="D2" s="300"/>
      <c r="E2" s="300"/>
      <c r="F2" s="300"/>
      <c r="G2" s="300"/>
      <c r="H2" s="300"/>
      <c r="I2" s="300"/>
      <c r="J2" s="300"/>
      <c r="N2" s="10"/>
      <c r="O2" s="10"/>
      <c r="P2" s="10"/>
      <c r="Q2" s="10"/>
      <c r="R2" s="10"/>
      <c r="S2" s="10"/>
      <c r="T2" s="10"/>
      <c r="U2" s="10"/>
      <c r="V2" s="10"/>
      <c r="W2" s="10"/>
      <c r="X2" s="10"/>
      <c r="Y2" s="10"/>
      <c r="Z2" s="10"/>
      <c r="AA2" s="10"/>
      <c r="AB2" s="10"/>
      <c r="AC2" s="10"/>
      <c r="AD2" s="10"/>
      <c r="AE2" s="10"/>
      <c r="AF2" s="10"/>
      <c r="AG2" s="10"/>
      <c r="AH2" s="10"/>
      <c r="AI2" s="10"/>
      <c r="AJ2" s="10"/>
      <c r="AK2" s="10"/>
      <c r="AL2" s="10"/>
    </row>
    <row r="3" spans="1:38" s="3" customFormat="1" ht="15" customHeight="1" x14ac:dyDescent="0.3">
      <c r="A3" s="300"/>
      <c r="B3" s="533" t="s">
        <v>73</v>
      </c>
      <c r="C3" s="328" t="s">
        <v>667</v>
      </c>
      <c r="D3" s="535" t="s">
        <v>664</v>
      </c>
      <c r="E3" s="536"/>
      <c r="F3" s="537"/>
      <c r="G3" s="538" t="s">
        <v>666</v>
      </c>
      <c r="H3" s="300"/>
      <c r="I3" s="300"/>
      <c r="J3" s="300"/>
      <c r="N3" s="10"/>
      <c r="O3" s="10"/>
      <c r="P3" s="10"/>
      <c r="Q3" s="10"/>
      <c r="R3" s="10"/>
      <c r="S3" s="10"/>
      <c r="T3" s="10"/>
      <c r="U3" s="10"/>
      <c r="V3" s="10"/>
      <c r="W3" s="10"/>
      <c r="X3" s="10"/>
      <c r="Y3" s="10"/>
      <c r="Z3" s="10"/>
      <c r="AA3" s="10"/>
      <c r="AB3" s="10"/>
      <c r="AC3" s="10"/>
      <c r="AD3" s="10"/>
      <c r="AE3" s="10"/>
      <c r="AF3" s="10"/>
      <c r="AG3" s="10"/>
      <c r="AH3" s="10"/>
      <c r="AI3" s="10"/>
      <c r="AJ3" s="10"/>
      <c r="AK3" s="10"/>
      <c r="AL3" s="10"/>
    </row>
    <row r="4" spans="1:38" ht="15" customHeight="1" x14ac:dyDescent="0.25">
      <c r="B4" s="534"/>
      <c r="C4" s="327">
        <v>3</v>
      </c>
      <c r="D4" s="326">
        <v>1</v>
      </c>
      <c r="E4" s="325">
        <v>2</v>
      </c>
      <c r="F4" s="324">
        <v>3</v>
      </c>
      <c r="G4" s="539"/>
    </row>
    <row r="5" spans="1:38" ht="15" customHeight="1" x14ac:dyDescent="0.25">
      <c r="B5" s="534"/>
      <c r="C5" s="323" t="str">
        <f>D5</f>
        <v>Surface Coal Mining – Overburden Removal, Extraction, and Reclamation</v>
      </c>
      <c r="D5" s="540" t="str">
        <f>'Data Summary'!D4</f>
        <v>Surface Coal Mining – Overburden Removal, Extraction, and Reclamation</v>
      </c>
      <c r="E5" s="541"/>
      <c r="F5" s="542"/>
      <c r="G5" s="539"/>
    </row>
    <row r="6" spans="1:38" x14ac:dyDescent="0.25">
      <c r="B6" s="534"/>
      <c r="C6" s="322" t="str">
        <f>HLOOKUP($C$4,$D$4:$F$14,3,FALSE)</f>
        <v>Reclamation</v>
      </c>
      <c r="D6" s="321" t="s">
        <v>843</v>
      </c>
      <c r="E6" s="320" t="s">
        <v>235</v>
      </c>
      <c r="F6" s="319" t="s">
        <v>840</v>
      </c>
      <c r="G6" s="539"/>
    </row>
    <row r="7" spans="1:38" ht="15" customHeight="1" x14ac:dyDescent="0.25">
      <c r="A7">
        <v>4</v>
      </c>
      <c r="B7" s="318" t="str">
        <f>'Data Summary'!C23</f>
        <v>PM25</v>
      </c>
      <c r="C7" s="315">
        <f t="shared" ref="C7:C14" si="0">HLOOKUP($C$4,$D$4:$F$17,A7,FALSE)</f>
        <v>9.6997449844369244E-7</v>
      </c>
      <c r="D7" s="314">
        <f>'PM Split'!C19</f>
        <v>2.4017165104205597E-6</v>
      </c>
      <c r="E7" s="314">
        <f>'PM Split'!D19</f>
        <v>4.7002224750956908E-6</v>
      </c>
      <c r="F7" s="314">
        <f>'PM Split'!E19</f>
        <v>9.6997449844369244E-7</v>
      </c>
      <c r="G7" s="317" t="str">
        <f>'Data Summary'!J23</f>
        <v>[kg/kg] Mass of total PM2.5 emissions per unit of coal produced for reference mine</v>
      </c>
    </row>
    <row r="8" spans="1:38" ht="15" customHeight="1" x14ac:dyDescent="0.25">
      <c r="A8">
        <v>5</v>
      </c>
      <c r="B8" s="318" t="str">
        <f>'Data Summary'!C26</f>
        <v>PM_25to10</v>
      </c>
      <c r="C8" s="315">
        <f t="shared" si="0"/>
        <v>5.9668350023724217E-6</v>
      </c>
      <c r="D8" s="314">
        <f>'PM Split'!C35</f>
        <v>4.2208520374856527E-5</v>
      </c>
      <c r="E8" s="314">
        <f>'PM Split'!D35</f>
        <v>3.2848886337542533E-5</v>
      </c>
      <c r="F8" s="314">
        <f>'PM Split'!E35</f>
        <v>5.9668350023724217E-6</v>
      </c>
      <c r="G8" s="317" t="str">
        <f>'Data Summary'!J28</f>
        <v>[kg/kg] Mass of unmitigated PM2.5 to PM10 emissions per unit of coal produced</v>
      </c>
    </row>
    <row r="9" spans="1:38" ht="15" customHeight="1" x14ac:dyDescent="0.25">
      <c r="A9">
        <v>6</v>
      </c>
      <c r="B9" s="316" t="str">
        <f>'Data Summary'!C29</f>
        <v>VOC_Ref</v>
      </c>
      <c r="C9" s="315">
        <f t="shared" si="0"/>
        <v>0</v>
      </c>
      <c r="D9" s="314">
        <f>VOC!B11</f>
        <v>1.7108921315412835E-7</v>
      </c>
      <c r="E9" s="314">
        <f>VOC!B10</f>
        <v>4.2772303288532087E-8</v>
      </c>
      <c r="F9" s="314">
        <v>0</v>
      </c>
      <c r="G9" s="317" t="str">
        <f>'Data Summary'!J29</f>
        <v>[kg/kg] Mass of VOC emissions per unit of coal produced for reference mine</v>
      </c>
    </row>
    <row r="10" spans="1:38" ht="15" customHeight="1" x14ac:dyDescent="0.25">
      <c r="A10">
        <v>7</v>
      </c>
      <c r="B10" s="316" t="str">
        <f>'Data Summary'!C30</f>
        <v>Elec_Ref</v>
      </c>
      <c r="C10" s="315">
        <f t="shared" si="0"/>
        <v>0</v>
      </c>
      <c r="D10" s="314">
        <f>'Energy Split'!C10</f>
        <v>1.0764966545365873E-5</v>
      </c>
      <c r="E10" s="314">
        <f>'Energy Split'!D10</f>
        <v>7.5013500000000004E-7</v>
      </c>
      <c r="F10" s="314">
        <f>'Energy Split'!E10</f>
        <v>0</v>
      </c>
      <c r="G10" s="317" t="str">
        <f>'Data Summary'!J30</f>
        <v>[MWh/kg] Amount of electricity input per unit of coal produced for reference mine</v>
      </c>
    </row>
    <row r="11" spans="1:38" s="458" customFormat="1" ht="15" customHeight="1" x14ac:dyDescent="0.25">
      <c r="A11" s="458">
        <v>8</v>
      </c>
      <c r="B11" s="316" t="str">
        <f>'Data Summary'!C31</f>
        <v>D_Ref_great750</v>
      </c>
      <c r="C11" s="459">
        <f t="shared" si="0"/>
        <v>0</v>
      </c>
      <c r="D11" s="460">
        <f>'Energy Split'!C21</f>
        <v>5.2855739096890929E-4</v>
      </c>
      <c r="E11" s="460">
        <f>'Energy Split'!D21</f>
        <v>1.3213934774222732E-4</v>
      </c>
      <c r="F11" s="460">
        <f>'Energy Split'!E21</f>
        <v>0</v>
      </c>
      <c r="G11" s="461" t="str">
        <f>'Data Summary'!J31</f>
        <v>[kg/kg] Amount of diesel energy input per unit of coal produced for reference mine; equipment with engines &gt; 750 horsepower</v>
      </c>
    </row>
    <row r="12" spans="1:38" s="458" customFormat="1" ht="15" customHeight="1" x14ac:dyDescent="0.25">
      <c r="A12" s="458">
        <v>9</v>
      </c>
      <c r="B12" s="316" t="str">
        <f>'Data Summary'!C32</f>
        <v>D_Ref_less750</v>
      </c>
      <c r="C12" s="459">
        <f t="shared" si="0"/>
        <v>1.0476913829401758E-4</v>
      </c>
      <c r="D12" s="460">
        <f>'Energy Split'!C22</f>
        <v>3.1960738859245728E-4</v>
      </c>
      <c r="E12" s="460">
        <f>'Energy Split'!D22</f>
        <v>2.6650642935985247E-5</v>
      </c>
      <c r="F12" s="460">
        <f>'Energy Split'!E22</f>
        <v>1.0476913829401758E-4</v>
      </c>
      <c r="G12" s="461" t="str">
        <f>'Data Summary'!J32</f>
        <v>[kg/kg] Amount of diesel energy input per unit of coal produced for reference mine; equipment with engines &lt; 750 horsepower</v>
      </c>
    </row>
    <row r="13" spans="1:38" ht="15" customHeight="1" x14ac:dyDescent="0.25">
      <c r="A13">
        <v>10</v>
      </c>
      <c r="B13" s="316" t="str">
        <f>'Data Summary'!C34</f>
        <v>NH3NO3_Ref</v>
      </c>
      <c r="C13" s="315">
        <f t="shared" si="0"/>
        <v>0</v>
      </c>
      <c r="D13" s="314">
        <f>Explosives!A20</f>
        <v>1.1635555555555555E-3</v>
      </c>
      <c r="E13" s="314">
        <f>Explosives!A19</f>
        <v>2.9088888888888887E-4</v>
      </c>
      <c r="F13" s="314">
        <v>0</v>
      </c>
      <c r="G13" s="317" t="str">
        <f>'Data Summary'!J34</f>
        <v>[kg/kg] Mass of ammonium nitrate per unit of coal produced for reference mine</v>
      </c>
    </row>
    <row r="14" spans="1:38" ht="15" customHeight="1" x14ac:dyDescent="0.25">
      <c r="A14">
        <v>11</v>
      </c>
      <c r="B14" s="316" t="str">
        <f>'Data Summary'!C35</f>
        <v>FO_Ref</v>
      </c>
      <c r="C14" s="315">
        <f t="shared" si="0"/>
        <v>0</v>
      </c>
      <c r="D14" s="314">
        <f>Explosives!A23</f>
        <v>8.0888888888888888E-5</v>
      </c>
      <c r="E14" s="314">
        <f>Explosives!A22</f>
        <v>2.0222222222222222E-5</v>
      </c>
      <c r="F14" s="314">
        <v>0</v>
      </c>
      <c r="G14" s="317" t="str">
        <f>'Data Summary'!J35</f>
        <v>[kg/kg] Mass of light fuel oil per unit of coal produced for reference mine</v>
      </c>
    </row>
    <row r="15" spans="1:38" ht="15" customHeight="1" x14ac:dyDescent="0.25">
      <c r="A15">
        <v>12</v>
      </c>
      <c r="B15" s="316" t="str">
        <f>'Data Summary'!C37</f>
        <v>Nox</v>
      </c>
      <c r="C15" s="315">
        <f t="shared" ref="C15:C17" si="1">HLOOKUP($C$4,$D$4:$F$17,A15,FALSE)</f>
        <v>0</v>
      </c>
      <c r="D15" s="314">
        <f>'NOx '!A13</f>
        <v>9.9105555555555556E-6</v>
      </c>
      <c r="E15" s="314">
        <f>'NOx '!A12</f>
        <v>1.6516666666666666E-6</v>
      </c>
      <c r="F15" s="314">
        <v>0</v>
      </c>
      <c r="G15" s="317" t="str">
        <f>'Data Summary'!J37</f>
        <v xml:space="preserve">[kg/kg] Mass of NOx emissions from overburden blasting per unit of coal produced </v>
      </c>
    </row>
    <row r="16" spans="1:38" ht="15" customHeight="1" x14ac:dyDescent="0.25">
      <c r="A16">
        <v>13</v>
      </c>
      <c r="B16" s="316" t="s">
        <v>871</v>
      </c>
      <c r="C16" s="315">
        <f t="shared" si="1"/>
        <v>0</v>
      </c>
      <c r="D16" s="314">
        <v>0</v>
      </c>
      <c r="E16" s="314">
        <v>1</v>
      </c>
      <c r="F16" s="314">
        <v>0</v>
      </c>
      <c r="G16" s="317" t="s">
        <v>872</v>
      </c>
    </row>
    <row r="17" spans="1:7" ht="15" customHeight="1" x14ac:dyDescent="0.25">
      <c r="A17">
        <v>14</v>
      </c>
      <c r="B17" s="316" t="s">
        <v>866</v>
      </c>
      <c r="C17" s="315">
        <f t="shared" si="1"/>
        <v>0</v>
      </c>
      <c r="D17" s="314">
        <v>1</v>
      </c>
      <c r="E17" s="314">
        <v>0</v>
      </c>
      <c r="F17" s="314">
        <v>0</v>
      </c>
      <c r="G17" s="317" t="s">
        <v>867</v>
      </c>
    </row>
    <row r="18" spans="1:7" ht="15" customHeight="1" x14ac:dyDescent="0.25">
      <c r="B18" s="406"/>
      <c r="C18" s="407"/>
      <c r="D18" s="408"/>
      <c r="E18" s="408"/>
      <c r="F18" s="408"/>
      <c r="G18" s="409"/>
    </row>
    <row r="19" spans="1:7" ht="15" customHeight="1" x14ac:dyDescent="0.25"/>
    <row r="20" spans="1:7" ht="15" customHeight="1" x14ac:dyDescent="0.25"/>
    <row r="21" spans="1:7" ht="15" customHeight="1" x14ac:dyDescent="0.25"/>
    <row r="22" spans="1:7" ht="15" customHeight="1" x14ac:dyDescent="0.25"/>
    <row r="23" spans="1:7" ht="18.75" x14ac:dyDescent="0.3">
      <c r="B23" s="313" t="s">
        <v>665</v>
      </c>
    </row>
    <row r="24" spans="1:7" x14ac:dyDescent="0.25">
      <c r="B24" s="312" t="s">
        <v>664</v>
      </c>
      <c r="C24" s="543" t="s">
        <v>14</v>
      </c>
      <c r="D24" s="543"/>
      <c r="E24" s="543"/>
      <c r="F24" s="543"/>
      <c r="G24" s="543"/>
    </row>
    <row r="25" spans="1:7" ht="30" customHeight="1" x14ac:dyDescent="0.25">
      <c r="B25" s="311">
        <v>1</v>
      </c>
      <c r="C25" s="531" t="s">
        <v>863</v>
      </c>
      <c r="D25" s="531"/>
      <c r="E25" s="531"/>
      <c r="F25" s="531"/>
      <c r="G25" s="531"/>
    </row>
    <row r="26" spans="1:7" ht="30" customHeight="1" x14ac:dyDescent="0.25">
      <c r="B26" s="311">
        <v>2</v>
      </c>
      <c r="C26" s="531" t="s">
        <v>864</v>
      </c>
      <c r="D26" s="531"/>
      <c r="E26" s="531"/>
      <c r="F26" s="531"/>
      <c r="G26" s="531"/>
    </row>
    <row r="27" spans="1:7" ht="30" customHeight="1" x14ac:dyDescent="0.25">
      <c r="B27" s="310">
        <v>3</v>
      </c>
      <c r="C27" s="531" t="s">
        <v>865</v>
      </c>
      <c r="D27" s="531"/>
      <c r="E27" s="531"/>
      <c r="F27" s="531"/>
      <c r="G27" s="531"/>
    </row>
    <row r="29" spans="1:7" x14ac:dyDescent="0.25">
      <c r="C29" s="352"/>
    </row>
    <row r="30" spans="1:7" x14ac:dyDescent="0.25">
      <c r="C30" s="352"/>
    </row>
    <row r="31" spans="1:7" x14ac:dyDescent="0.25">
      <c r="C31" s="352"/>
    </row>
    <row r="32" spans="1:7" x14ac:dyDescent="0.25">
      <c r="C32" s="352"/>
    </row>
    <row r="33" spans="3:3" x14ac:dyDescent="0.25">
      <c r="C33" s="352"/>
    </row>
    <row r="34" spans="3:3" x14ac:dyDescent="0.25">
      <c r="C34" s="352"/>
    </row>
    <row r="35" spans="3:3" x14ac:dyDescent="0.25">
      <c r="C35" s="352"/>
    </row>
    <row r="36" spans="3:3" x14ac:dyDescent="0.25">
      <c r="C36" s="352"/>
    </row>
    <row r="37" spans="3:3" x14ac:dyDescent="0.25">
      <c r="C37" s="352"/>
    </row>
    <row r="38" spans="3:3" x14ac:dyDescent="0.25">
      <c r="C38" s="352"/>
    </row>
    <row r="39" spans="3:3" x14ac:dyDescent="0.25">
      <c r="C39" s="352"/>
    </row>
    <row r="40" spans="3:3" x14ac:dyDescent="0.25">
      <c r="C40" s="352"/>
    </row>
    <row r="41" spans="3:3" x14ac:dyDescent="0.25">
      <c r="C41" s="352"/>
    </row>
    <row r="42" spans="3:3" x14ac:dyDescent="0.25">
      <c r="C42" s="352"/>
    </row>
  </sheetData>
  <mergeCells count="9">
    <mergeCell ref="C25:G25"/>
    <mergeCell ref="C26:G26"/>
    <mergeCell ref="C27:G27"/>
    <mergeCell ref="A1:J1"/>
    <mergeCell ref="B3:B6"/>
    <mergeCell ref="D3:F3"/>
    <mergeCell ref="G3:G6"/>
    <mergeCell ref="D5:F5"/>
    <mergeCell ref="C24:G2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51"/>
  <sheetViews>
    <sheetView workbookViewId="0">
      <selection activeCell="I18" sqref="I18"/>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12" style="3" customWidth="1"/>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532" t="s">
        <v>41</v>
      </c>
      <c r="B1" s="532"/>
      <c r="C1" s="532"/>
      <c r="D1" s="532"/>
      <c r="E1" s="532"/>
      <c r="F1" s="532"/>
      <c r="G1" s="532"/>
      <c r="H1" s="532"/>
      <c r="I1" s="532"/>
      <c r="J1" s="532"/>
      <c r="K1" s="532"/>
      <c r="O1" s="10"/>
      <c r="P1" s="10"/>
      <c r="Q1" s="10"/>
      <c r="R1" s="10"/>
      <c r="S1" s="10"/>
      <c r="T1" s="10"/>
      <c r="U1" s="10"/>
      <c r="V1" s="10"/>
      <c r="W1" s="10"/>
      <c r="X1" s="10"/>
      <c r="Y1" s="10"/>
      <c r="Z1" s="10"/>
      <c r="AA1" s="10"/>
      <c r="AB1" s="10"/>
      <c r="AC1" s="10"/>
      <c r="AD1" s="10"/>
      <c r="AE1" s="10"/>
      <c r="AF1" s="10"/>
      <c r="AG1" s="10"/>
      <c r="AH1" s="10"/>
      <c r="AI1" s="10"/>
      <c r="AJ1" s="10"/>
      <c r="AK1" s="10"/>
      <c r="AL1" s="10"/>
      <c r="AM1" s="10"/>
    </row>
    <row r="2" spans="1:39" ht="30" customHeight="1" x14ac:dyDescent="0.25">
      <c r="A2" s="140" t="s">
        <v>143</v>
      </c>
      <c r="C2" s="580" t="s">
        <v>320</v>
      </c>
      <c r="D2" s="580"/>
      <c r="E2" s="141"/>
      <c r="F2" s="141"/>
      <c r="G2" s="141"/>
      <c r="H2" s="141"/>
    </row>
    <row r="3" spans="1:39" s="122" customFormat="1" ht="40.5" customHeight="1" x14ac:dyDescent="0.2">
      <c r="B3" s="142" t="s">
        <v>144</v>
      </c>
      <c r="C3" s="143" t="s">
        <v>145</v>
      </c>
      <c r="D3" s="143" t="s">
        <v>146</v>
      </c>
      <c r="E3" s="143" t="s">
        <v>16</v>
      </c>
      <c r="F3" s="143" t="s">
        <v>147</v>
      </c>
      <c r="G3" s="143" t="s">
        <v>148</v>
      </c>
      <c r="H3" s="143" t="s">
        <v>149</v>
      </c>
      <c r="I3" s="144" t="s">
        <v>40</v>
      </c>
      <c r="J3" s="143" t="s">
        <v>150</v>
      </c>
      <c r="K3" s="143" t="s">
        <v>151</v>
      </c>
    </row>
    <row r="4" spans="1:39" s="122" customFormat="1" x14ac:dyDescent="0.2">
      <c r="B4" s="53" t="str">
        <f>'Data Summary'!C58</f>
        <v>FO_Scale</v>
      </c>
      <c r="C4" s="40" t="str">
        <f>'Data Summary'!M58</f>
        <v>1,2,3</v>
      </c>
      <c r="D4" s="422">
        <v>2</v>
      </c>
      <c r="E4" s="422">
        <v>2</v>
      </c>
      <c r="F4" s="422">
        <v>3</v>
      </c>
      <c r="G4" s="422">
        <v>1</v>
      </c>
      <c r="H4" s="423">
        <v>1</v>
      </c>
      <c r="I4" s="146" t="str">
        <f t="shared" ref="I4" si="0">IF(D4&lt;&gt;"",D4&amp;","&amp;E4&amp;","&amp;F4&amp;","&amp;G4&amp;","&amp;H4,"0,0,0,0,0")</f>
        <v>2,2,3,1,1</v>
      </c>
      <c r="J4" s="147" t="str">
        <f>IF(MAX(D4:H4)&gt;=5, "Requirements not met", "Requirements met")</f>
        <v>Requirements met</v>
      </c>
      <c r="K4" s="148" t="str">
        <f>IF(MAX(D4:H4)&gt;=5, "Not OK", "OK")</f>
        <v>OK</v>
      </c>
    </row>
    <row r="5" spans="1:39" s="122" customFormat="1" x14ac:dyDescent="0.2">
      <c r="B5" s="53" t="str">
        <f>'Data Summary'!C59</f>
        <v>NH3NO3_Scale</v>
      </c>
      <c r="C5" s="40" t="str">
        <f>'Data Summary'!M59</f>
        <v>1,2,3</v>
      </c>
      <c r="D5" s="422">
        <v>2</v>
      </c>
      <c r="E5" s="422">
        <v>2</v>
      </c>
      <c r="F5" s="422">
        <v>3</v>
      </c>
      <c r="G5" s="422">
        <v>1</v>
      </c>
      <c r="H5" s="423">
        <v>1</v>
      </c>
      <c r="I5" s="146" t="str">
        <f t="shared" ref="I5:I11" si="1">IF(D5&lt;&gt;"",D5&amp;","&amp;E5&amp;","&amp;F5&amp;","&amp;G5&amp;","&amp;H5,"0,0,0,0,0")</f>
        <v>2,2,3,1,1</v>
      </c>
      <c r="J5" s="147" t="str">
        <f t="shared" ref="J5:J7" si="2">IF(MAX(D5:H5)&gt;=5, "Requirements not met", "Requirements met")</f>
        <v>Requirements met</v>
      </c>
      <c r="K5" s="148" t="str">
        <f t="shared" ref="K5:K7" si="3">IF(MAX(D5:H5)&gt;=5, "Not OK", "OK")</f>
        <v>OK</v>
      </c>
    </row>
    <row r="6" spans="1:39" s="122" customFormat="1" ht="38.25" customHeight="1" x14ac:dyDescent="0.2">
      <c r="B6" s="53" t="str">
        <f>'Data Summary'!C60</f>
        <v>Elec_Scale</v>
      </c>
      <c r="C6" s="40" t="str">
        <f>'Data Summary'!M60</f>
        <v>1,18,20</v>
      </c>
      <c r="D6" s="422">
        <v>3</v>
      </c>
      <c r="E6" s="422">
        <v>2</v>
      </c>
      <c r="F6" s="422">
        <v>4</v>
      </c>
      <c r="G6" s="422">
        <v>3</v>
      </c>
      <c r="H6" s="423">
        <v>1</v>
      </c>
      <c r="I6" s="146" t="str">
        <f t="shared" si="1"/>
        <v>3,2,4,3,1</v>
      </c>
      <c r="J6" s="147" t="str">
        <f t="shared" si="2"/>
        <v>Requirements met</v>
      </c>
      <c r="K6" s="148" t="str">
        <f t="shared" si="3"/>
        <v>OK</v>
      </c>
    </row>
    <row r="7" spans="1:39" s="122" customFormat="1" ht="25.5" x14ac:dyDescent="0.2">
      <c r="B7" s="53" t="str">
        <f>'Data Summary'!C61</f>
        <v>D_Scal_great750</v>
      </c>
      <c r="C7" s="40" t="str">
        <f>'Data Summary'!M61</f>
        <v>1,18</v>
      </c>
      <c r="D7" s="422">
        <v>3</v>
      </c>
      <c r="E7" s="422">
        <v>3</v>
      </c>
      <c r="F7" s="422">
        <v>5</v>
      </c>
      <c r="G7" s="422">
        <v>3</v>
      </c>
      <c r="H7" s="423">
        <v>1</v>
      </c>
      <c r="I7" s="146" t="str">
        <f t="shared" si="1"/>
        <v>3,3,5,3,1</v>
      </c>
      <c r="J7" s="147" t="str">
        <f t="shared" si="2"/>
        <v>Requirements not met</v>
      </c>
      <c r="K7" s="148" t="str">
        <f t="shared" si="3"/>
        <v>Not OK</v>
      </c>
    </row>
    <row r="8" spans="1:39" s="122" customFormat="1" x14ac:dyDescent="0.2">
      <c r="B8" s="53" t="e">
        <f>'Data Summary'!#REF!</f>
        <v>#REF!</v>
      </c>
      <c r="C8" s="40" t="e">
        <f>'Data Summary'!#REF!</f>
        <v>#REF!</v>
      </c>
      <c r="D8" s="422">
        <v>2</v>
      </c>
      <c r="E8" s="422">
        <v>2</v>
      </c>
      <c r="F8" s="422">
        <v>2</v>
      </c>
      <c r="G8" s="422">
        <v>1</v>
      </c>
      <c r="H8" s="423">
        <v>1</v>
      </c>
      <c r="I8" s="146" t="str">
        <f t="shared" si="1"/>
        <v>2,2,2,1,1</v>
      </c>
      <c r="J8" s="147" t="str">
        <f t="shared" ref="J8:J11" si="4">IF(MAX(D8:H8)&gt;=5, "Requirements not met", "Requirements met")</f>
        <v>Requirements met</v>
      </c>
      <c r="K8" s="148" t="str">
        <f t="shared" ref="K8:K11" si="5">IF(MAX(D8:H8)&gt;=5, "Not OK", "OK")</f>
        <v>OK</v>
      </c>
    </row>
    <row r="9" spans="1:39" s="122" customFormat="1" x14ac:dyDescent="0.2">
      <c r="B9" s="53" t="str">
        <f>'Data Summary'!C74</f>
        <v>PM25_unmit</v>
      </c>
      <c r="C9" s="40" t="str">
        <f>'Data Summary'!M74</f>
        <v>7,10,13,18</v>
      </c>
      <c r="D9" s="422">
        <v>3</v>
      </c>
      <c r="E9" s="422">
        <v>4</v>
      </c>
      <c r="F9" s="422">
        <v>4</v>
      </c>
      <c r="G9" s="422">
        <v>3</v>
      </c>
      <c r="H9" s="423">
        <v>1</v>
      </c>
      <c r="I9" s="146" t="str">
        <f t="shared" si="1"/>
        <v>3,4,4,3,1</v>
      </c>
      <c r="J9" s="147" t="str">
        <f t="shared" si="4"/>
        <v>Requirements met</v>
      </c>
      <c r="K9" s="148" t="str">
        <f t="shared" si="5"/>
        <v>OK</v>
      </c>
    </row>
    <row r="10" spans="1:39" s="122" customFormat="1" x14ac:dyDescent="0.2">
      <c r="B10" s="53" t="str">
        <f>'Data Summary'!C76</f>
        <v>VOC_Scale</v>
      </c>
      <c r="C10" s="40" t="str">
        <f>'Data Summary'!M76</f>
        <v>1,5</v>
      </c>
      <c r="D10" s="422">
        <v>2</v>
      </c>
      <c r="E10" s="422">
        <v>2</v>
      </c>
      <c r="F10" s="422">
        <v>2</v>
      </c>
      <c r="G10" s="422">
        <v>3</v>
      </c>
      <c r="H10" s="422">
        <v>1</v>
      </c>
      <c r="I10" s="146" t="str">
        <f t="shared" si="1"/>
        <v>2,2,2,3,1</v>
      </c>
      <c r="J10" s="147" t="str">
        <f t="shared" si="4"/>
        <v>Requirements met</v>
      </c>
      <c r="K10" s="148" t="str">
        <f t="shared" si="5"/>
        <v>OK</v>
      </c>
    </row>
    <row r="11" spans="1:39" s="122" customFormat="1" x14ac:dyDescent="0.2">
      <c r="B11" s="53" t="str">
        <f>'Data Summary'!C77</f>
        <v>NOx_total</v>
      </c>
      <c r="C11" s="40">
        <f>'Data Summary'!M77</f>
        <v>16</v>
      </c>
      <c r="D11" s="422">
        <v>2</v>
      </c>
      <c r="E11" s="422">
        <v>2</v>
      </c>
      <c r="F11" s="422">
        <v>2</v>
      </c>
      <c r="G11" s="422">
        <v>2</v>
      </c>
      <c r="H11" s="422">
        <v>1</v>
      </c>
      <c r="I11" s="146" t="str">
        <f t="shared" si="1"/>
        <v>2,2,2,2,1</v>
      </c>
      <c r="J11" s="147" t="str">
        <f t="shared" si="4"/>
        <v>Requirements met</v>
      </c>
      <c r="K11" s="148" t="str">
        <f t="shared" si="5"/>
        <v>OK</v>
      </c>
    </row>
    <row r="12" spans="1:39" s="122" customFormat="1" ht="12.75" customHeight="1" x14ac:dyDescent="0.2">
      <c r="B12" s="149" t="s">
        <v>84</v>
      </c>
      <c r="C12" s="150"/>
      <c r="D12" s="150"/>
      <c r="E12" s="150"/>
      <c r="F12" s="150"/>
      <c r="G12" s="150"/>
      <c r="H12" s="150"/>
      <c r="I12" s="190" t="str">
        <f>MAX(D4:D11)&amp;","&amp;MAX(E4:E11)&amp;","&amp;MAX(F4:F11)&amp;","&amp;MAX(G4:G11)&amp;","&amp;MAX(H4:H11)</f>
        <v>3,4,5,3,1</v>
      </c>
      <c r="J12" s="564"/>
      <c r="K12" s="564"/>
    </row>
    <row r="13" spans="1:39" ht="20.25" x14ac:dyDescent="0.3">
      <c r="B13" s="10"/>
      <c r="C13" s="10"/>
      <c r="D13" s="10"/>
      <c r="E13" s="10"/>
      <c r="F13" s="10"/>
      <c r="G13" s="10"/>
      <c r="H13" s="10"/>
      <c r="I13" s="139"/>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row>
    <row r="14" spans="1:39" ht="20.25" x14ac:dyDescent="0.3">
      <c r="A14" s="140" t="s">
        <v>152</v>
      </c>
      <c r="C14" s="10"/>
      <c r="D14" s="10"/>
      <c r="E14" s="10"/>
      <c r="F14" s="10"/>
      <c r="G14" s="10"/>
      <c r="H14" s="139"/>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row>
    <row r="15" spans="1:39" s="152" customFormat="1" ht="13.5" thickBot="1" x14ac:dyDescent="0.25">
      <c r="A15" s="151" t="s">
        <v>153</v>
      </c>
    </row>
    <row r="16" spans="1:39" ht="17.25" customHeight="1" thickBot="1" x14ac:dyDescent="0.25">
      <c r="B16" s="565" t="s">
        <v>154</v>
      </c>
      <c r="C16" s="567" t="s">
        <v>155</v>
      </c>
      <c r="D16" s="568"/>
      <c r="E16" s="568"/>
      <c r="F16" s="568"/>
      <c r="G16" s="569"/>
    </row>
    <row r="17" spans="1:18" ht="13.5" thickBot="1" x14ac:dyDescent="0.25">
      <c r="B17" s="566"/>
      <c r="C17" s="153">
        <v>1</v>
      </c>
      <c r="D17" s="153">
        <v>2</v>
      </c>
      <c r="E17" s="153">
        <v>3</v>
      </c>
      <c r="F17" s="153">
        <v>4</v>
      </c>
      <c r="G17" s="153">
        <v>5</v>
      </c>
    </row>
    <row r="18" spans="1:18" ht="72.75" thickBot="1" x14ac:dyDescent="0.25">
      <c r="B18" s="570" t="s">
        <v>156</v>
      </c>
      <c r="C18" s="154" t="s">
        <v>157</v>
      </c>
      <c r="D18" s="154" t="s">
        <v>158</v>
      </c>
      <c r="E18" s="154" t="s">
        <v>159</v>
      </c>
      <c r="F18" s="154" t="s">
        <v>160</v>
      </c>
      <c r="G18" s="154" t="s">
        <v>161</v>
      </c>
    </row>
    <row r="19" spans="1:18" ht="24" customHeight="1" thickBot="1" x14ac:dyDescent="0.25">
      <c r="B19" s="571"/>
      <c r="C19" s="573" t="s">
        <v>162</v>
      </c>
      <c r="D19" s="574"/>
      <c r="E19" s="573" t="s">
        <v>163</v>
      </c>
      <c r="F19" s="575"/>
      <c r="G19" s="574"/>
    </row>
    <row r="20" spans="1:18" ht="36.75" thickBot="1" x14ac:dyDescent="0.25">
      <c r="B20" s="572"/>
      <c r="C20" s="155" t="s">
        <v>164</v>
      </c>
      <c r="D20" s="576" t="s">
        <v>165</v>
      </c>
      <c r="E20" s="577"/>
      <c r="F20" s="578" t="s">
        <v>166</v>
      </c>
      <c r="G20" s="579"/>
    </row>
    <row r="21" spans="1:18" ht="60.75" thickBot="1" x14ac:dyDescent="0.25">
      <c r="B21" s="156" t="s">
        <v>16</v>
      </c>
      <c r="C21" s="154" t="s">
        <v>167</v>
      </c>
      <c r="D21" s="154" t="s">
        <v>168</v>
      </c>
      <c r="E21" s="154" t="s">
        <v>169</v>
      </c>
      <c r="F21" s="154" t="s">
        <v>170</v>
      </c>
      <c r="G21" s="154" t="s">
        <v>171</v>
      </c>
    </row>
    <row r="22" spans="1:18" ht="44.25" customHeight="1" thickBot="1" x14ac:dyDescent="0.25">
      <c r="B22" s="156" t="s">
        <v>147</v>
      </c>
      <c r="C22" s="154" t="s">
        <v>172</v>
      </c>
      <c r="D22" s="154" t="s">
        <v>173</v>
      </c>
      <c r="E22" s="154" t="s">
        <v>174</v>
      </c>
      <c r="F22" s="154" t="s">
        <v>175</v>
      </c>
      <c r="G22" s="154" t="s">
        <v>176</v>
      </c>
    </row>
    <row r="23" spans="1:18" ht="44.25" customHeight="1" thickBot="1" x14ac:dyDescent="0.25">
      <c r="B23" s="156" t="s">
        <v>148</v>
      </c>
      <c r="C23" s="154" t="s">
        <v>177</v>
      </c>
      <c r="D23" s="154" t="s">
        <v>178</v>
      </c>
      <c r="E23" s="154" t="s">
        <v>179</v>
      </c>
      <c r="F23" s="154" t="s">
        <v>180</v>
      </c>
      <c r="G23" s="154" t="s">
        <v>181</v>
      </c>
    </row>
    <row r="24" spans="1:18" ht="44.25" customHeight="1" thickBot="1" x14ac:dyDescent="0.25">
      <c r="B24" s="156" t="s">
        <v>182</v>
      </c>
      <c r="C24" s="154" t="s">
        <v>183</v>
      </c>
      <c r="D24" s="573" t="s">
        <v>184</v>
      </c>
      <c r="E24" s="574"/>
      <c r="F24" s="154" t="s">
        <v>185</v>
      </c>
      <c r="G24" s="154" t="s">
        <v>186</v>
      </c>
    </row>
    <row r="25" spans="1:18" x14ac:dyDescent="0.2">
      <c r="B25" s="157"/>
      <c r="C25" s="158"/>
      <c r="D25" s="158"/>
      <c r="E25" s="158"/>
      <c r="F25" s="158"/>
      <c r="G25" s="158"/>
    </row>
    <row r="26" spans="1:18" customFormat="1" ht="15" x14ac:dyDescent="0.25">
      <c r="A26" s="159" t="s">
        <v>187</v>
      </c>
      <c r="C26" s="134"/>
      <c r="D26" s="134"/>
      <c r="E26" s="134"/>
      <c r="F26" s="134"/>
      <c r="G26" s="134"/>
      <c r="H26" s="134"/>
      <c r="I26" s="134"/>
      <c r="J26" s="134"/>
      <c r="K26" s="134"/>
      <c r="L26" s="134"/>
      <c r="M26" s="134"/>
      <c r="N26" s="134"/>
      <c r="O26" s="134"/>
      <c r="P26" s="134"/>
      <c r="Q26" s="134"/>
      <c r="R26" s="134"/>
    </row>
    <row r="27" spans="1:18" customFormat="1" ht="15" x14ac:dyDescent="0.25">
      <c r="B27" s="160" t="s">
        <v>188</v>
      </c>
      <c r="C27" s="161"/>
      <c r="D27" s="161"/>
      <c r="E27" s="161"/>
      <c r="F27" s="161"/>
      <c r="G27" s="161"/>
      <c r="H27" s="162"/>
      <c r="I27" s="134"/>
      <c r="J27" s="134"/>
      <c r="K27" s="134"/>
      <c r="L27" s="134"/>
      <c r="M27" s="134"/>
      <c r="N27" s="134"/>
      <c r="O27" s="134"/>
      <c r="P27" s="134"/>
      <c r="Q27" s="134"/>
      <c r="R27" s="134"/>
    </row>
    <row r="28" spans="1:18" customFormat="1" ht="65.25" customHeight="1" x14ac:dyDescent="0.25">
      <c r="B28" s="163"/>
      <c r="C28" s="545" t="s">
        <v>189</v>
      </c>
      <c r="D28" s="546"/>
      <c r="E28" s="546"/>
      <c r="F28" s="546"/>
      <c r="G28" s="546"/>
      <c r="H28" s="547"/>
      <c r="N28" s="164"/>
      <c r="O28" s="164"/>
      <c r="P28" s="164"/>
      <c r="Q28" s="164"/>
      <c r="R28" s="164"/>
    </row>
    <row r="29" spans="1:18" customFormat="1" ht="15" x14ac:dyDescent="0.25">
      <c r="B29" s="163"/>
      <c r="C29" s="165" t="s">
        <v>190</v>
      </c>
      <c r="D29" s="166"/>
      <c r="E29" s="166"/>
      <c r="F29" s="166"/>
      <c r="G29" s="166"/>
      <c r="H29" s="167"/>
      <c r="I29" s="134"/>
      <c r="J29" s="134"/>
      <c r="K29" s="134"/>
      <c r="L29" s="134"/>
      <c r="M29" s="134"/>
      <c r="N29" s="134"/>
      <c r="O29" s="134"/>
      <c r="P29" s="134"/>
      <c r="Q29" s="134"/>
      <c r="R29" s="134"/>
    </row>
    <row r="30" spans="1:18" customFormat="1" ht="15" x14ac:dyDescent="0.25">
      <c r="B30" s="163"/>
      <c r="C30" s="168" t="s">
        <v>191</v>
      </c>
      <c r="D30" s="169"/>
      <c r="E30" s="169"/>
      <c r="F30" s="169"/>
      <c r="G30" s="169"/>
      <c r="H30" s="170"/>
      <c r="I30" s="134"/>
      <c r="J30" s="134"/>
      <c r="K30" s="134"/>
      <c r="L30" s="134"/>
      <c r="M30" s="134"/>
      <c r="N30" s="134"/>
      <c r="O30" s="134"/>
      <c r="P30" s="134"/>
      <c r="Q30" s="134"/>
      <c r="R30" s="134"/>
    </row>
    <row r="31" spans="1:18" customFormat="1" ht="15" x14ac:dyDescent="0.25">
      <c r="B31" s="163"/>
      <c r="C31" s="168" t="s">
        <v>192</v>
      </c>
      <c r="D31" s="169"/>
      <c r="E31" s="169"/>
      <c r="F31" s="169"/>
      <c r="G31" s="169"/>
      <c r="H31" s="170"/>
      <c r="I31" s="134"/>
      <c r="J31" s="134"/>
      <c r="K31" s="134"/>
      <c r="L31" s="134"/>
      <c r="M31" s="134"/>
      <c r="N31" s="134"/>
      <c r="O31" s="134"/>
      <c r="P31" s="134"/>
      <c r="Q31" s="134"/>
      <c r="R31" s="134"/>
    </row>
    <row r="32" spans="1:18" customFormat="1" ht="15" x14ac:dyDescent="0.25">
      <c r="B32" s="163"/>
      <c r="C32" s="168" t="s">
        <v>193</v>
      </c>
      <c r="D32" s="169"/>
      <c r="E32" s="169"/>
      <c r="F32" s="169"/>
      <c r="G32" s="169"/>
      <c r="H32" s="170"/>
      <c r="I32" s="134"/>
      <c r="J32" s="134"/>
      <c r="K32" s="134"/>
      <c r="L32" s="134"/>
      <c r="M32" s="134"/>
      <c r="N32" s="134"/>
      <c r="O32" s="134"/>
      <c r="P32" s="134"/>
      <c r="Q32" s="134"/>
      <c r="R32" s="134"/>
    </row>
    <row r="33" spans="1:18" customFormat="1" ht="15" x14ac:dyDescent="0.25">
      <c r="B33" s="163"/>
      <c r="C33" s="168" t="s">
        <v>194</v>
      </c>
      <c r="D33" s="169"/>
      <c r="E33" s="169"/>
      <c r="F33" s="169"/>
      <c r="G33" s="169"/>
      <c r="H33" s="170"/>
      <c r="I33" s="134"/>
      <c r="J33" s="134"/>
      <c r="K33" s="134"/>
      <c r="L33" s="134"/>
      <c r="M33" s="134"/>
      <c r="N33" s="134"/>
      <c r="O33" s="134"/>
      <c r="P33" s="134"/>
      <c r="Q33" s="134"/>
      <c r="R33" s="134"/>
    </row>
    <row r="34" spans="1:18" customFormat="1" ht="41.25" customHeight="1" x14ac:dyDescent="0.25">
      <c r="B34" s="163"/>
      <c r="C34" s="561" t="s">
        <v>195</v>
      </c>
      <c r="D34" s="562"/>
      <c r="E34" s="562"/>
      <c r="F34" s="562"/>
      <c r="G34" s="562"/>
      <c r="H34" s="563"/>
      <c r="N34" s="171"/>
      <c r="O34" s="171"/>
      <c r="P34" s="171"/>
      <c r="Q34" s="134"/>
      <c r="R34" s="134"/>
    </row>
    <row r="35" spans="1:18" customFormat="1" ht="38.25" customHeight="1" x14ac:dyDescent="0.25">
      <c r="B35" s="172"/>
      <c r="C35" s="545" t="s">
        <v>196</v>
      </c>
      <c r="D35" s="546"/>
      <c r="E35" s="546"/>
      <c r="F35" s="546"/>
      <c r="G35" s="546"/>
      <c r="H35" s="547"/>
      <c r="N35" s="164"/>
      <c r="O35" s="164"/>
      <c r="P35" s="164"/>
      <c r="Q35" s="164"/>
      <c r="R35" s="134"/>
    </row>
    <row r="36" spans="1:18" customFormat="1" ht="43.5" customHeight="1" x14ac:dyDescent="0.25">
      <c r="B36" s="545" t="s">
        <v>197</v>
      </c>
      <c r="C36" s="546"/>
      <c r="D36" s="546"/>
      <c r="E36" s="546"/>
      <c r="F36" s="546"/>
      <c r="G36" s="546"/>
      <c r="H36" s="547"/>
      <c r="I36" s="134"/>
      <c r="J36" s="134"/>
      <c r="K36" s="134"/>
      <c r="L36" s="134"/>
      <c r="M36" s="134"/>
      <c r="N36" s="134"/>
      <c r="O36" s="134"/>
      <c r="P36" s="134"/>
      <c r="Q36" s="134"/>
      <c r="R36" s="134"/>
    </row>
    <row r="37" spans="1:18" customFormat="1" ht="49.5" customHeight="1" x14ac:dyDescent="0.25">
      <c r="B37" s="545" t="s">
        <v>198</v>
      </c>
      <c r="C37" s="546"/>
      <c r="D37" s="546"/>
      <c r="E37" s="546"/>
      <c r="F37" s="546"/>
      <c r="G37" s="546"/>
      <c r="H37" s="547"/>
      <c r="I37" s="173"/>
    </row>
    <row r="38" spans="1:18" customFormat="1" ht="46.5" customHeight="1" x14ac:dyDescent="0.25">
      <c r="B38" s="545" t="s">
        <v>199</v>
      </c>
      <c r="C38" s="546"/>
      <c r="D38" s="546"/>
      <c r="E38" s="546"/>
      <c r="F38" s="546"/>
      <c r="G38" s="546"/>
      <c r="H38" s="547"/>
      <c r="I38" s="173"/>
    </row>
    <row r="39" spans="1:18" customFormat="1" ht="30" customHeight="1" x14ac:dyDescent="0.25">
      <c r="B39" s="545" t="s">
        <v>200</v>
      </c>
      <c r="C39" s="546"/>
      <c r="D39" s="546"/>
      <c r="E39" s="546"/>
      <c r="F39" s="546"/>
      <c r="G39" s="546"/>
      <c r="H39" s="547"/>
      <c r="I39" s="173"/>
    </row>
    <row r="40" spans="1:18" customFormat="1" ht="15" customHeight="1" x14ac:dyDescent="0.25">
      <c r="A40" s="174" t="s">
        <v>201</v>
      </c>
      <c r="B40" s="174"/>
      <c r="I40" s="175"/>
    </row>
    <row r="41" spans="1:18" customFormat="1" ht="30" customHeight="1" x14ac:dyDescent="0.25">
      <c r="B41" s="548" t="s">
        <v>202</v>
      </c>
      <c r="C41" s="549"/>
      <c r="D41" s="549"/>
      <c r="E41" s="549"/>
      <c r="F41" s="549"/>
      <c r="G41" s="549"/>
      <c r="H41" s="550"/>
    </row>
    <row r="42" spans="1:18" customFormat="1" ht="12.75" customHeight="1" x14ac:dyDescent="0.25">
      <c r="B42" s="551" t="s">
        <v>203</v>
      </c>
      <c r="C42" s="552"/>
      <c r="D42" s="552"/>
      <c r="E42" s="552"/>
      <c r="F42" s="552"/>
      <c r="G42" s="176"/>
      <c r="H42" s="177"/>
    </row>
    <row r="43" spans="1:18" customFormat="1" ht="29.25" customHeight="1" x14ac:dyDescent="0.25">
      <c r="B43" s="553" t="s">
        <v>204</v>
      </c>
      <c r="C43" s="554"/>
      <c r="D43" s="554"/>
      <c r="E43" s="554"/>
      <c r="F43" s="554"/>
      <c r="G43" s="554"/>
      <c r="H43" s="555"/>
    </row>
    <row r="44" spans="1:18" customFormat="1" ht="15" customHeight="1" x14ac:dyDescent="0.25">
      <c r="B44" s="178" t="s">
        <v>205</v>
      </c>
      <c r="C44" s="176"/>
      <c r="D44" s="176"/>
      <c r="E44" s="176"/>
      <c r="F44" s="176"/>
      <c r="G44" s="176"/>
      <c r="H44" s="177"/>
    </row>
    <row r="45" spans="1:18" customFormat="1" ht="30.75" customHeight="1" x14ac:dyDescent="0.25">
      <c r="B45" s="553" t="s">
        <v>206</v>
      </c>
      <c r="C45" s="554"/>
      <c r="D45" s="554"/>
      <c r="E45" s="554"/>
      <c r="F45" s="554"/>
      <c r="G45" s="554"/>
      <c r="H45" s="555"/>
    </row>
    <row r="46" spans="1:18" customFormat="1" ht="12.75" customHeight="1" x14ac:dyDescent="0.25">
      <c r="B46" s="556" t="s">
        <v>207</v>
      </c>
      <c r="C46" s="557"/>
      <c r="D46" s="557"/>
      <c r="E46" s="557"/>
      <c r="F46" s="557"/>
      <c r="G46" s="557"/>
      <c r="H46" s="177"/>
    </row>
    <row r="47" spans="1:18" customFormat="1" ht="35.25" customHeight="1" x14ac:dyDescent="0.25">
      <c r="B47" s="553" t="s">
        <v>208</v>
      </c>
      <c r="C47" s="554"/>
      <c r="D47" s="554"/>
      <c r="E47" s="554"/>
      <c r="F47" s="554"/>
      <c r="G47" s="554"/>
      <c r="H47" s="555"/>
    </row>
    <row r="48" spans="1:18" customFormat="1" ht="24.75" customHeight="1" x14ac:dyDescent="0.25">
      <c r="B48" s="558" t="s">
        <v>209</v>
      </c>
      <c r="C48" s="559"/>
      <c r="D48" s="559"/>
      <c r="E48" s="559"/>
      <c r="F48" s="559"/>
      <c r="G48" s="559"/>
      <c r="H48" s="560"/>
    </row>
    <row r="49" spans="2:8" customFormat="1" ht="27.75" customHeight="1" x14ac:dyDescent="0.25">
      <c r="B49" s="561" t="s">
        <v>210</v>
      </c>
      <c r="C49" s="562"/>
      <c r="D49" s="562"/>
      <c r="E49" s="562"/>
      <c r="F49" s="562"/>
      <c r="G49" s="562"/>
      <c r="H49" s="563"/>
    </row>
    <row r="50" spans="2:8" customFormat="1" ht="21" customHeight="1" x14ac:dyDescent="0.25">
      <c r="B50" s="545" t="s">
        <v>211</v>
      </c>
      <c r="C50" s="546"/>
      <c r="D50" s="546"/>
      <c r="E50" s="546"/>
      <c r="F50" s="546"/>
      <c r="G50" s="546"/>
      <c r="H50" s="547"/>
    </row>
    <row r="51" spans="2:8" customFormat="1" ht="26.25" customHeight="1" x14ac:dyDescent="0.25">
      <c r="B51" s="544" t="s">
        <v>212</v>
      </c>
      <c r="C51" s="544"/>
      <c r="D51" s="544"/>
      <c r="E51" s="544"/>
      <c r="F51" s="544"/>
      <c r="G51" s="544"/>
      <c r="H51" s="544"/>
    </row>
  </sheetData>
  <mergeCells count="28">
    <mergeCell ref="B37:H37"/>
    <mergeCell ref="A1:K1"/>
    <mergeCell ref="J12:K12"/>
    <mergeCell ref="B16:B17"/>
    <mergeCell ref="C16:G16"/>
    <mergeCell ref="B18:B20"/>
    <mergeCell ref="C19:D19"/>
    <mergeCell ref="E19:G19"/>
    <mergeCell ref="D20:E20"/>
    <mergeCell ref="F20:G20"/>
    <mergeCell ref="D24:E24"/>
    <mergeCell ref="C28:H28"/>
    <mergeCell ref="C34:H34"/>
    <mergeCell ref="C35:H35"/>
    <mergeCell ref="B36:H36"/>
    <mergeCell ref="C2:D2"/>
    <mergeCell ref="B51:H51"/>
    <mergeCell ref="B38:H38"/>
    <mergeCell ref="B39:H39"/>
    <mergeCell ref="B41:H41"/>
    <mergeCell ref="B42:F42"/>
    <mergeCell ref="B43:H43"/>
    <mergeCell ref="B45:H45"/>
    <mergeCell ref="B46:G46"/>
    <mergeCell ref="B47:H47"/>
    <mergeCell ref="B48:H48"/>
    <mergeCell ref="B49:H49"/>
    <mergeCell ref="B50:H50"/>
  </mergeCells>
  <conditionalFormatting sqref="J4:K11">
    <cfRule type="expression" dxfId="1" priority="5">
      <formula>MAX(D4:H4)&gt;=5</formula>
    </cfRule>
  </conditionalFormatting>
  <conditionalFormatting sqref="I12">
    <cfRule type="expression" dxfId="0" priority="1">
      <formula>MAX($D$4:$H$4)&gt;=5</formula>
    </cfRule>
  </conditionalFormatting>
  <pageMargins left="0.7" right="0.7" top="0.75" bottom="0.75" header="0.3" footer="0.3"/>
  <pageSetup paperSize="3" orientation="landscape" r:id="rId1"/>
  <headerFooter>
    <oddFooter>Page &amp;P&amp;R&amp;F</oddFooter>
  </headerFooter>
  <rowBreaks count="1" manualBreakCount="1">
    <brk id="25" max="16383" man="1"/>
  </rowBreaks>
  <ignoredErrors>
    <ignoredError sqref="J4:K5 J7:K7 J6:K6"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17"/>
  <sheetViews>
    <sheetView zoomScaleNormal="100" workbookViewId="0">
      <selection activeCell="B8" sqref="B8"/>
    </sheetView>
  </sheetViews>
  <sheetFormatPr defaultRowHeight="15" x14ac:dyDescent="0.25"/>
  <cols>
    <col min="1" max="1" width="27" style="125" bestFit="1" customWidth="1"/>
    <col min="2" max="2" width="11" style="125" customWidth="1"/>
    <col min="3" max="3" width="13.5703125" style="125" bestFit="1" customWidth="1"/>
    <col min="4" max="4" width="22.85546875" style="125" customWidth="1"/>
    <col min="5" max="6" width="11" style="125" customWidth="1"/>
    <col min="7" max="8" width="9.140625" style="125" customWidth="1"/>
    <col min="9" max="9" width="19" style="180"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10" customFormat="1" ht="20.25" x14ac:dyDescent="0.3">
      <c r="H1" s="300" t="s">
        <v>670</v>
      </c>
      <c r="I1" s="332"/>
    </row>
    <row r="2" spans="1:9" s="123" customFormat="1" ht="18" customHeight="1" x14ac:dyDescent="0.25">
      <c r="A2" s="331" t="s">
        <v>42</v>
      </c>
      <c r="B2" s="186" t="s">
        <v>213</v>
      </c>
      <c r="C2" s="187"/>
      <c r="D2" s="188"/>
      <c r="E2" s="188"/>
      <c r="F2" s="188"/>
      <c r="G2" s="188"/>
      <c r="H2" s="188"/>
      <c r="I2" s="330" t="s">
        <v>76</v>
      </c>
    </row>
    <row r="3" spans="1:9" s="123" customFormat="1" x14ac:dyDescent="0.2">
      <c r="A3" s="329" t="s">
        <v>669</v>
      </c>
      <c r="C3" s="124"/>
      <c r="I3" s="179"/>
    </row>
    <row r="4" spans="1:9" s="123" customFormat="1" ht="12.75" x14ac:dyDescent="0.2">
      <c r="A4" s="182" t="s">
        <v>21</v>
      </c>
      <c r="B4" s="182" t="s">
        <v>0</v>
      </c>
      <c r="C4" s="182" t="s">
        <v>83</v>
      </c>
      <c r="D4" s="182" t="s">
        <v>140</v>
      </c>
      <c r="E4" s="184" t="s">
        <v>45</v>
      </c>
      <c r="F4" s="181"/>
      <c r="G4" s="181"/>
      <c r="H4" s="181"/>
      <c r="I4" s="183"/>
    </row>
    <row r="5" spans="1:9" s="123" customFormat="1" x14ac:dyDescent="0.25">
      <c r="A5" t="s">
        <v>671</v>
      </c>
      <c r="B5" s="333">
        <v>138890</v>
      </c>
      <c r="C5" t="s">
        <v>672</v>
      </c>
      <c r="D5" t="s">
        <v>722</v>
      </c>
      <c r="E5" s="261"/>
      <c r="F5" s="262"/>
      <c r="G5" s="262"/>
      <c r="H5" s="262"/>
      <c r="I5" s="344" t="s">
        <v>721</v>
      </c>
    </row>
    <row r="6" spans="1:9" s="123" customFormat="1" x14ac:dyDescent="0.25">
      <c r="A6" t="s">
        <v>674</v>
      </c>
      <c r="B6" s="333">
        <v>27778</v>
      </c>
      <c r="C6" t="s">
        <v>672</v>
      </c>
      <c r="D6" t="s">
        <v>722</v>
      </c>
      <c r="E6" s="261"/>
      <c r="F6" s="262"/>
      <c r="G6" s="262"/>
      <c r="H6" s="262"/>
      <c r="I6" s="344" t="s">
        <v>721</v>
      </c>
    </row>
    <row r="7" spans="1:9" s="123" customFormat="1" x14ac:dyDescent="0.25">
      <c r="A7"/>
      <c r="B7" s="333"/>
      <c r="C7"/>
      <c r="D7" s="187"/>
      <c r="E7" s="261"/>
      <c r="F7" s="262"/>
      <c r="G7" s="262"/>
      <c r="H7" s="262"/>
      <c r="I7" s="179"/>
    </row>
    <row r="8" spans="1:9" x14ac:dyDescent="0.25">
      <c r="A8" t="s">
        <v>673</v>
      </c>
      <c r="B8" s="432">
        <f>B5/B6</f>
        <v>5</v>
      </c>
      <c r="C8" t="s">
        <v>675</v>
      </c>
      <c r="D8"/>
      <c r="E8"/>
      <c r="F8"/>
      <c r="G8"/>
      <c r="H8"/>
      <c r="I8" s="180">
        <v>1</v>
      </c>
    </row>
    <row r="9" spans="1:9" x14ac:dyDescent="0.25">
      <c r="A9" t="s">
        <v>676</v>
      </c>
      <c r="B9" s="333">
        <v>8</v>
      </c>
      <c r="C9" t="s">
        <v>675</v>
      </c>
      <c r="D9"/>
      <c r="E9"/>
      <c r="F9"/>
      <c r="G9"/>
      <c r="H9"/>
      <c r="I9" s="350">
        <v>14</v>
      </c>
    </row>
    <row r="10" spans="1:9" x14ac:dyDescent="0.25">
      <c r="A10" t="s">
        <v>677</v>
      </c>
      <c r="B10" s="341">
        <f>AVERAGE(7,9,8)</f>
        <v>8</v>
      </c>
      <c r="C10" t="s">
        <v>675</v>
      </c>
      <c r="D10"/>
      <c r="E10"/>
      <c r="F10"/>
      <c r="G10"/>
      <c r="H10"/>
      <c r="I10" s="351" t="s">
        <v>862</v>
      </c>
    </row>
    <row r="11" spans="1:9" x14ac:dyDescent="0.25">
      <c r="A11"/>
      <c r="B11" s="341"/>
      <c r="C11"/>
      <c r="D11"/>
      <c r="E11"/>
      <c r="F11"/>
      <c r="G11"/>
      <c r="H11"/>
      <c r="I11" s="342"/>
    </row>
    <row r="12" spans="1:9" x14ac:dyDescent="0.25">
      <c r="A12" s="379" t="s">
        <v>695</v>
      </c>
      <c r="B12" s="380">
        <f>B8/B8</f>
        <v>1</v>
      </c>
      <c r="C12"/>
      <c r="D12"/>
      <c r="E12"/>
      <c r="F12"/>
      <c r="G12"/>
      <c r="H12"/>
    </row>
    <row r="13" spans="1:9" x14ac:dyDescent="0.25">
      <c r="A13" s="379" t="s">
        <v>696</v>
      </c>
      <c r="B13" s="380">
        <f>B9/B8</f>
        <v>1.6</v>
      </c>
      <c r="C13"/>
      <c r="D13"/>
      <c r="E13"/>
      <c r="F13"/>
      <c r="G13"/>
      <c r="H13"/>
    </row>
    <row r="14" spans="1:9" x14ac:dyDescent="0.25">
      <c r="A14" s="379" t="s">
        <v>697</v>
      </c>
      <c r="B14" s="380">
        <f>B10/B8</f>
        <v>1.6</v>
      </c>
      <c r="C14"/>
      <c r="D14"/>
      <c r="E14"/>
      <c r="F14"/>
      <c r="G14"/>
      <c r="H14"/>
    </row>
    <row r="15" spans="1:9" x14ac:dyDescent="0.25">
      <c r="A15"/>
      <c r="B15" s="333"/>
      <c r="C15"/>
      <c r="D15"/>
      <c r="E15"/>
      <c r="F15"/>
      <c r="G15"/>
      <c r="H15"/>
    </row>
    <row r="16" spans="1:9" x14ac:dyDescent="0.25">
      <c r="A16"/>
      <c r="B16" s="333"/>
      <c r="C16"/>
      <c r="D16"/>
      <c r="E16"/>
      <c r="F16"/>
      <c r="G16"/>
      <c r="H16"/>
    </row>
    <row r="17" spans="1:8" x14ac:dyDescent="0.25">
      <c r="A17"/>
      <c r="B17" s="333"/>
      <c r="C17"/>
      <c r="D17"/>
      <c r="E17"/>
      <c r="F17"/>
      <c r="G17"/>
      <c r="H17"/>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B12" sqref="B12"/>
    </sheetView>
  </sheetViews>
  <sheetFormatPr defaultRowHeight="15" x14ac:dyDescent="0.25"/>
  <cols>
    <col min="1" max="1" width="21.42578125" bestFit="1" customWidth="1"/>
    <col min="2" max="2" width="33.28515625" customWidth="1"/>
  </cols>
  <sheetData>
    <row r="1" spans="1:10" ht="20.25" x14ac:dyDescent="0.3">
      <c r="A1" s="10"/>
      <c r="B1" s="10"/>
      <c r="C1" s="10"/>
      <c r="D1" s="10"/>
      <c r="E1" s="10"/>
      <c r="F1" s="10"/>
      <c r="G1" s="10"/>
      <c r="H1" s="202" t="s">
        <v>356</v>
      </c>
      <c r="I1" s="3"/>
      <c r="J1" s="3"/>
    </row>
    <row r="2" spans="1:10" ht="18" x14ac:dyDescent="0.25">
      <c r="A2" s="140" t="s">
        <v>42</v>
      </c>
      <c r="B2" s="3"/>
      <c r="C2" s="3"/>
      <c r="D2" s="3"/>
      <c r="E2" s="3"/>
      <c r="F2" s="3"/>
      <c r="G2" s="3"/>
      <c r="H2" s="3"/>
      <c r="I2" s="140" t="s">
        <v>76</v>
      </c>
      <c r="J2" s="3"/>
    </row>
    <row r="3" spans="1:10" x14ac:dyDescent="0.25">
      <c r="A3" s="3"/>
      <c r="B3" s="3"/>
      <c r="C3" s="3"/>
      <c r="D3" s="3"/>
      <c r="E3" s="3"/>
      <c r="F3" s="3"/>
      <c r="G3" s="3"/>
      <c r="H3" s="3"/>
      <c r="I3" s="3"/>
      <c r="J3" s="3"/>
    </row>
    <row r="4" spans="1:10" ht="18" x14ac:dyDescent="0.25">
      <c r="A4" s="581" t="s">
        <v>360</v>
      </c>
      <c r="B4" s="582"/>
      <c r="C4" s="224"/>
      <c r="D4" s="224"/>
      <c r="E4" s="232"/>
      <c r="F4" s="232"/>
      <c r="G4" s="232"/>
      <c r="H4" s="3"/>
      <c r="I4" s="128" t="s">
        <v>399</v>
      </c>
      <c r="J4" s="128"/>
    </row>
    <row r="5" spans="1:10" x14ac:dyDescent="0.25">
      <c r="A5" s="225" t="s">
        <v>357</v>
      </c>
      <c r="B5" s="226" t="s">
        <v>358</v>
      </c>
      <c r="C5" s="227"/>
      <c r="D5" s="227"/>
      <c r="E5" s="227"/>
      <c r="F5" s="3"/>
      <c r="G5" s="3"/>
      <c r="H5" s="3"/>
      <c r="I5" s="3"/>
      <c r="J5" s="3"/>
    </row>
    <row r="6" spans="1:10" x14ac:dyDescent="0.25">
      <c r="A6" s="145" t="s">
        <v>361</v>
      </c>
      <c r="B6" s="228">
        <v>97500000</v>
      </c>
      <c r="C6" s="229"/>
      <c r="D6" s="229"/>
      <c r="E6" s="229"/>
      <c r="F6" s="3"/>
      <c r="G6" s="3"/>
      <c r="H6" s="3"/>
      <c r="I6" s="3"/>
      <c r="J6" s="3"/>
    </row>
    <row r="7" spans="1:10" x14ac:dyDescent="0.25">
      <c r="A7" s="145" t="s">
        <v>362</v>
      </c>
      <c r="B7" s="228">
        <v>88500000</v>
      </c>
      <c r="C7" s="229"/>
      <c r="D7" s="229"/>
      <c r="E7" s="229"/>
      <c r="F7" s="3"/>
      <c r="G7" s="3"/>
      <c r="H7" s="3"/>
      <c r="I7" s="3"/>
      <c r="J7" s="3"/>
    </row>
    <row r="8" spans="1:10" x14ac:dyDescent="0.25">
      <c r="A8" s="145" t="s">
        <v>363</v>
      </c>
      <c r="B8" s="228">
        <v>42100000</v>
      </c>
      <c r="C8" s="229"/>
      <c r="D8" s="229"/>
      <c r="E8" s="229"/>
      <c r="F8" s="3"/>
      <c r="G8" s="3"/>
      <c r="H8" s="3"/>
      <c r="I8" s="3"/>
      <c r="J8" s="3"/>
    </row>
    <row r="9" spans="1:10" x14ac:dyDescent="0.25">
      <c r="A9" s="145" t="s">
        <v>364</v>
      </c>
      <c r="B9" s="228">
        <v>40000000</v>
      </c>
      <c r="C9" s="229"/>
      <c r="D9" s="229"/>
      <c r="E9" s="229"/>
      <c r="F9" s="3"/>
      <c r="G9" s="3"/>
      <c r="H9" s="3"/>
      <c r="I9" s="3"/>
      <c r="J9" s="3"/>
    </row>
    <row r="10" spans="1:10" x14ac:dyDescent="0.25">
      <c r="A10" s="230" t="s">
        <v>359</v>
      </c>
      <c r="B10" s="228">
        <f>AVERAGE(B6:B9)</f>
        <v>67025000</v>
      </c>
      <c r="C10" s="3"/>
      <c r="D10" s="3"/>
      <c r="E10" s="3"/>
      <c r="F10" s="3"/>
      <c r="G10" s="3"/>
      <c r="H10" s="3"/>
      <c r="I10" s="3"/>
      <c r="J10" s="3"/>
    </row>
    <row r="11" spans="1:10" x14ac:dyDescent="0.25">
      <c r="A11" s="3"/>
      <c r="B11" s="3"/>
      <c r="C11" s="3"/>
      <c r="D11" s="3"/>
      <c r="E11" s="3"/>
      <c r="F11" s="3"/>
      <c r="G11" s="3"/>
      <c r="H11" s="3"/>
      <c r="I11" s="3"/>
      <c r="J11" s="3"/>
    </row>
    <row r="12" spans="1:10" x14ac:dyDescent="0.25">
      <c r="A12" s="231" t="s">
        <v>359</v>
      </c>
      <c r="B12" s="244">
        <f>B10*Conversions!$D$4</f>
        <v>60804057198.5</v>
      </c>
      <c r="C12" s="231" t="s">
        <v>324</v>
      </c>
      <c r="D12" s="3"/>
      <c r="E12" s="3"/>
      <c r="F12" s="3"/>
      <c r="G12" s="3"/>
      <c r="H12" s="3"/>
      <c r="I12" s="3"/>
      <c r="J12" s="3"/>
    </row>
  </sheetData>
  <mergeCells count="1">
    <mergeCell ref="A4:B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59"/>
  <sheetViews>
    <sheetView topLeftCell="A97" zoomScale="85" zoomScaleNormal="85" workbookViewId="0">
      <selection activeCell="E102" sqref="E102"/>
    </sheetView>
  </sheetViews>
  <sheetFormatPr defaultColWidth="9.140625" defaultRowHeight="12.75" x14ac:dyDescent="0.2"/>
  <cols>
    <col min="1" max="1" width="32.140625" style="286" customWidth="1"/>
    <col min="2" max="2" width="12.42578125" style="286" bestFit="1" customWidth="1"/>
    <col min="3" max="3" width="21.85546875" style="286" bestFit="1" customWidth="1"/>
    <col min="4" max="7" width="9.140625" style="286"/>
    <col min="8" max="8" width="14.42578125" style="286" customWidth="1"/>
    <col min="9" max="9" width="9.140625" style="286"/>
    <col min="10" max="10" width="12.28515625" style="286" customWidth="1"/>
    <col min="11" max="26" width="9.140625" style="286"/>
    <col min="27" max="27" width="32.140625" style="286" bestFit="1" customWidth="1"/>
    <col min="28" max="16384" width="9.140625" style="286"/>
  </cols>
  <sheetData>
    <row r="1" spans="1:38" ht="20.25" x14ac:dyDescent="0.3">
      <c r="A1" s="283" t="s">
        <v>237</v>
      </c>
      <c r="B1" s="284"/>
      <c r="C1" s="284"/>
      <c r="D1" s="284"/>
      <c r="E1" s="284"/>
      <c r="F1" s="284"/>
      <c r="G1" s="284"/>
      <c r="H1" s="285" t="s">
        <v>321</v>
      </c>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row>
    <row r="2" spans="1:38" ht="18" x14ac:dyDescent="0.25">
      <c r="A2" s="287" t="s">
        <v>42</v>
      </c>
      <c r="I2" s="288"/>
      <c r="J2" s="287" t="s">
        <v>76</v>
      </c>
    </row>
    <row r="3" spans="1:38" ht="14.25" customHeight="1" x14ac:dyDescent="0.25">
      <c r="A3" s="287"/>
      <c r="I3" s="288"/>
      <c r="J3" s="287"/>
    </row>
    <row r="4" spans="1:38" x14ac:dyDescent="0.2">
      <c r="A4" s="289" t="s">
        <v>271</v>
      </c>
      <c r="B4" s="289" t="s">
        <v>0</v>
      </c>
      <c r="C4" s="289" t="s">
        <v>83</v>
      </c>
      <c r="D4" s="289" t="s">
        <v>140</v>
      </c>
      <c r="E4" s="289"/>
      <c r="F4" s="289"/>
      <c r="G4" s="289"/>
      <c r="H4" s="289" t="s">
        <v>45</v>
      </c>
    </row>
    <row r="5" spans="1:38" x14ac:dyDescent="0.2">
      <c r="A5" s="290" t="s">
        <v>594</v>
      </c>
      <c r="B5" s="291"/>
    </row>
    <row r="6" spans="1:38" x14ac:dyDescent="0.2">
      <c r="B6" s="292">
        <f>0.000014*17000^1.5</f>
        <v>31.031403448764614</v>
      </c>
      <c r="C6" s="290" t="s">
        <v>595</v>
      </c>
      <c r="J6" s="290" t="s">
        <v>646</v>
      </c>
    </row>
    <row r="7" spans="1:38" x14ac:dyDescent="0.2">
      <c r="B7" s="293">
        <f>AVERAGE(4,4,3,7,7)</f>
        <v>5</v>
      </c>
      <c r="C7" s="290" t="s">
        <v>596</v>
      </c>
      <c r="H7" s="286">
        <v>11</v>
      </c>
      <c r="J7" s="290" t="s">
        <v>719</v>
      </c>
    </row>
    <row r="8" spans="1:38" x14ac:dyDescent="0.2">
      <c r="B8" s="291">
        <f>B7*52</f>
        <v>260</v>
      </c>
      <c r="C8" s="290" t="s">
        <v>597</v>
      </c>
    </row>
    <row r="9" spans="1:38" x14ac:dyDescent="0.2">
      <c r="B9" s="294">
        <f>B8*B6</f>
        <v>8068.1648966787998</v>
      </c>
      <c r="C9" s="290" t="s">
        <v>598</v>
      </c>
    </row>
    <row r="10" spans="1:38" x14ac:dyDescent="0.2">
      <c r="A10" s="284"/>
      <c r="B10" s="383">
        <f>B9/Conversions!D5</f>
        <v>3659.6580370353422</v>
      </c>
      <c r="C10" s="359" t="s">
        <v>599</v>
      </c>
    </row>
    <row r="11" spans="1:38" x14ac:dyDescent="0.2">
      <c r="A11" s="284"/>
      <c r="B11" s="384">
        <f>B10/'Mine Production'!B12</f>
        <v>6.01877276887639E-8</v>
      </c>
      <c r="C11" s="359" t="s">
        <v>600</v>
      </c>
    </row>
    <row r="12" spans="1:38" x14ac:dyDescent="0.2">
      <c r="A12" s="284"/>
      <c r="B12" s="337">
        <f>B11*0.52</f>
        <v>3.1297618398157231E-8</v>
      </c>
      <c r="C12" s="338" t="s">
        <v>423</v>
      </c>
      <c r="D12" s="290" t="s">
        <v>614</v>
      </c>
    </row>
    <row r="13" spans="1:38" x14ac:dyDescent="0.2">
      <c r="A13" s="284"/>
      <c r="B13" s="337">
        <f>B11*0.03</f>
        <v>1.805631830662917E-9</v>
      </c>
      <c r="C13" s="338" t="s">
        <v>422</v>
      </c>
      <c r="D13" s="290" t="s">
        <v>614</v>
      </c>
    </row>
    <row r="14" spans="1:38" x14ac:dyDescent="0.2">
      <c r="A14" s="284"/>
      <c r="B14" s="337">
        <f>B12/'Strip Ratio'!B8</f>
        <v>6.2595236796314465E-9</v>
      </c>
      <c r="C14" s="338" t="s">
        <v>423</v>
      </c>
      <c r="D14" s="290" t="s">
        <v>609</v>
      </c>
    </row>
    <row r="15" spans="1:38" x14ac:dyDescent="0.2">
      <c r="A15" s="284"/>
      <c r="B15" s="337">
        <f>B13/'Strip Ratio'!B8</f>
        <v>3.6112636613258341E-10</v>
      </c>
      <c r="C15" s="338" t="s">
        <v>422</v>
      </c>
      <c r="D15" s="290" t="s">
        <v>609</v>
      </c>
    </row>
    <row r="16" spans="1:38" x14ac:dyDescent="0.2">
      <c r="A16" s="284"/>
      <c r="B16" s="337">
        <f>B12-B14</f>
        <v>2.5038094718525786E-8</v>
      </c>
      <c r="C16" s="338" t="s">
        <v>423</v>
      </c>
      <c r="D16" s="290" t="s">
        <v>612</v>
      </c>
    </row>
    <row r="17" spans="1:10" x14ac:dyDescent="0.2">
      <c r="A17" s="284"/>
      <c r="B17" s="337">
        <f>B13-B15</f>
        <v>1.4445054645303336E-9</v>
      </c>
      <c r="C17" s="338" t="s">
        <v>422</v>
      </c>
      <c r="D17" s="290" t="s">
        <v>612</v>
      </c>
    </row>
    <row r="18" spans="1:10" x14ac:dyDescent="0.2">
      <c r="A18" s="359" t="s">
        <v>601</v>
      </c>
      <c r="B18" s="385"/>
      <c r="C18" s="284"/>
    </row>
    <row r="19" spans="1:10" x14ac:dyDescent="0.2">
      <c r="A19" s="284"/>
      <c r="B19" s="358">
        <f>0.119/10.4^0.9</f>
        <v>1.4461620346045532E-2</v>
      </c>
      <c r="C19" s="359" t="s">
        <v>602</v>
      </c>
      <c r="D19" s="290" t="s">
        <v>609</v>
      </c>
      <c r="J19" s="290" t="s">
        <v>646</v>
      </c>
    </row>
    <row r="20" spans="1:10" x14ac:dyDescent="0.2">
      <c r="A20" s="284"/>
      <c r="B20" s="358">
        <f>B19/Conversions!D5</f>
        <v>6.5596806468030131E-3</v>
      </c>
      <c r="C20" s="359" t="s">
        <v>603</v>
      </c>
      <c r="D20" s="290" t="s">
        <v>609</v>
      </c>
    </row>
    <row r="21" spans="1:10" x14ac:dyDescent="0.2">
      <c r="A21" s="284"/>
      <c r="B21" s="360">
        <f>B20/Conversions!D4</f>
        <v>7.2308101730227655E-6</v>
      </c>
      <c r="C21" s="359" t="s">
        <v>604</v>
      </c>
      <c r="D21" s="290" t="s">
        <v>609</v>
      </c>
    </row>
    <row r="22" spans="1:10" x14ac:dyDescent="0.2">
      <c r="A22" s="284"/>
      <c r="B22" s="357">
        <f>B21*0.75</f>
        <v>5.4231076297670741E-6</v>
      </c>
      <c r="C22" s="338" t="s">
        <v>423</v>
      </c>
      <c r="D22" s="290" t="s">
        <v>609</v>
      </c>
    </row>
    <row r="23" spans="1:10" x14ac:dyDescent="0.2">
      <c r="A23" s="284"/>
      <c r="B23" s="358">
        <f>1.16/10.4^1.2</f>
        <v>6.9826131515778295E-2</v>
      </c>
      <c r="C23" s="359" t="s">
        <v>605</v>
      </c>
      <c r="D23" s="290" t="s">
        <v>609</v>
      </c>
      <c r="J23" s="290" t="s">
        <v>646</v>
      </c>
    </row>
    <row r="24" spans="1:10" x14ac:dyDescent="0.2">
      <c r="A24" s="284"/>
      <c r="B24" s="358">
        <f>B23/Conversions!D5</f>
        <v>3.1672600482173574E-2</v>
      </c>
      <c r="C24" s="359" t="s">
        <v>606</v>
      </c>
      <c r="D24" s="290" t="s">
        <v>609</v>
      </c>
    </row>
    <row r="25" spans="1:10" x14ac:dyDescent="0.2">
      <c r="A25" s="284"/>
      <c r="B25" s="360">
        <f>B24/Conversions!D4</f>
        <v>3.4913065757889154E-5</v>
      </c>
      <c r="C25" s="359" t="s">
        <v>600</v>
      </c>
      <c r="D25" s="290" t="s">
        <v>609</v>
      </c>
    </row>
    <row r="26" spans="1:10" x14ac:dyDescent="0.2">
      <c r="A26" s="284"/>
      <c r="B26" s="357">
        <f>B21*0.019</f>
        <v>1.3738539328743254E-7</v>
      </c>
      <c r="C26" s="338" t="s">
        <v>422</v>
      </c>
      <c r="D26" s="290" t="s">
        <v>609</v>
      </c>
    </row>
    <row r="27" spans="1:10" x14ac:dyDescent="0.2">
      <c r="A27" s="359" t="s">
        <v>607</v>
      </c>
      <c r="B27" s="386"/>
      <c r="C27" s="284"/>
    </row>
    <row r="28" spans="1:10" x14ac:dyDescent="0.2">
      <c r="A28" s="284"/>
      <c r="B28" s="358">
        <f>(18.6*8.6^1.5)/10.4^1.4</f>
        <v>17.677219151052839</v>
      </c>
      <c r="C28" s="359" t="s">
        <v>608</v>
      </c>
      <c r="D28" s="290" t="s">
        <v>609</v>
      </c>
      <c r="J28" s="290" t="s">
        <v>646</v>
      </c>
    </row>
    <row r="29" spans="1:10" x14ac:dyDescent="0.2">
      <c r="A29" s="284"/>
      <c r="B29" s="361">
        <f>B28/Conversions!D5*16*360</f>
        <v>46185.129963276158</v>
      </c>
      <c r="C29" s="359" t="s">
        <v>610</v>
      </c>
      <c r="D29" s="290" t="s">
        <v>609</v>
      </c>
      <c r="H29" s="296" t="s">
        <v>636</v>
      </c>
    </row>
    <row r="30" spans="1:10" x14ac:dyDescent="0.2">
      <c r="A30" s="284"/>
      <c r="B30" s="334">
        <f>B29*0.75</f>
        <v>34638.847472457121</v>
      </c>
      <c r="C30" s="335" t="s">
        <v>425</v>
      </c>
      <c r="D30" s="290" t="s">
        <v>609</v>
      </c>
    </row>
    <row r="31" spans="1:10" x14ac:dyDescent="0.2">
      <c r="A31" s="284"/>
      <c r="B31" s="395">
        <f>B30/'Mine Production'!B12</f>
        <v>5.6967987118648453E-7</v>
      </c>
      <c r="C31" s="396" t="s">
        <v>423</v>
      </c>
      <c r="D31" s="290" t="s">
        <v>609</v>
      </c>
    </row>
    <row r="32" spans="1:10" x14ac:dyDescent="0.2">
      <c r="A32" s="284"/>
      <c r="B32" s="358">
        <f>(78.4*8.6^1.2)/10.4^1.3</f>
        <v>49.382248784758936</v>
      </c>
      <c r="C32" s="359" t="s">
        <v>611</v>
      </c>
      <c r="D32" s="290" t="s">
        <v>609</v>
      </c>
      <c r="J32" s="290" t="s">
        <v>646</v>
      </c>
    </row>
    <row r="33" spans="1:10" x14ac:dyDescent="0.2">
      <c r="A33" s="284"/>
      <c r="B33" s="361">
        <f>B32/Conversions!D5*16*360</f>
        <v>129020.60887032055</v>
      </c>
      <c r="C33" s="359" t="s">
        <v>599</v>
      </c>
      <c r="D33" s="290" t="s">
        <v>609</v>
      </c>
      <c r="H33" s="296" t="s">
        <v>636</v>
      </c>
    </row>
    <row r="34" spans="1:10" x14ac:dyDescent="0.2">
      <c r="A34" s="284"/>
      <c r="B34" s="334">
        <f>B29*0.022</f>
        <v>1016.0728591920754</v>
      </c>
      <c r="C34" s="335" t="s">
        <v>424</v>
      </c>
      <c r="D34" s="290" t="s">
        <v>609</v>
      </c>
    </row>
    <row r="35" spans="1:10" x14ac:dyDescent="0.2">
      <c r="A35" s="284"/>
      <c r="B35" s="395">
        <f>B34/'Mine Production'!B12</f>
        <v>1.6710609554803544E-8</v>
      </c>
      <c r="C35" s="396" t="s">
        <v>422</v>
      </c>
      <c r="D35" s="290" t="s">
        <v>609</v>
      </c>
    </row>
    <row r="36" spans="1:10" x14ac:dyDescent="0.2">
      <c r="A36" s="284"/>
      <c r="B36" s="387"/>
      <c r="C36" s="284"/>
      <c r="H36" s="297"/>
    </row>
    <row r="37" spans="1:10" x14ac:dyDescent="0.2">
      <c r="A37" s="284"/>
      <c r="B37" s="388">
        <f>(1*7.9^1.5)/6.9^1.4</f>
        <v>1.4861132622869073</v>
      </c>
      <c r="C37" s="359" t="s">
        <v>608</v>
      </c>
      <c r="D37" s="290" t="s">
        <v>612</v>
      </c>
      <c r="H37" s="297"/>
      <c r="J37" s="290" t="s">
        <v>646</v>
      </c>
    </row>
    <row r="38" spans="1:10" x14ac:dyDescent="0.2">
      <c r="A38" s="284"/>
      <c r="B38" s="389">
        <f>B37/Conversions!D5*16*360</f>
        <v>3882.7563075599041</v>
      </c>
      <c r="C38" s="359" t="s">
        <v>610</v>
      </c>
      <c r="D38" s="290" t="s">
        <v>612</v>
      </c>
      <c r="H38" s="296" t="s">
        <v>636</v>
      </c>
    </row>
    <row r="39" spans="1:10" x14ac:dyDescent="0.2">
      <c r="A39" s="284"/>
      <c r="B39" s="334">
        <f>B38*0.75</f>
        <v>2912.067230669928</v>
      </c>
      <c r="C39" s="335" t="s">
        <v>425</v>
      </c>
      <c r="D39" s="290" t="s">
        <v>612</v>
      </c>
    </row>
    <row r="40" spans="1:10" x14ac:dyDescent="0.2">
      <c r="A40" s="284"/>
      <c r="B40" s="395">
        <f>B39/'Mine Production'!B12</f>
        <v>4.7892646721965241E-8</v>
      </c>
      <c r="C40" s="396" t="s">
        <v>423</v>
      </c>
      <c r="D40" s="290" t="s">
        <v>612</v>
      </c>
    </row>
    <row r="41" spans="1:10" x14ac:dyDescent="0.2">
      <c r="A41" s="284"/>
      <c r="B41" s="388">
        <f>(5.7*7.9^1.2)/6.9^1.3</f>
        <v>5.527433766434009</v>
      </c>
      <c r="C41" s="359" t="s">
        <v>611</v>
      </c>
      <c r="D41" s="290" t="s">
        <v>612</v>
      </c>
      <c r="H41" s="297"/>
      <c r="J41" s="290" t="s">
        <v>646</v>
      </c>
    </row>
    <row r="42" spans="1:10" x14ac:dyDescent="0.2">
      <c r="A42" s="284"/>
      <c r="B42" s="389">
        <f>B41/Conversions!D5*16*360</f>
        <v>14441.482265096613</v>
      </c>
      <c r="C42" s="359" t="s">
        <v>599</v>
      </c>
      <c r="D42" s="290" t="s">
        <v>612</v>
      </c>
      <c r="H42" s="296" t="s">
        <v>636</v>
      </c>
    </row>
    <row r="43" spans="1:10" x14ac:dyDescent="0.2">
      <c r="A43" s="284"/>
      <c r="B43" s="334">
        <f>B38*0.105</f>
        <v>407.68941229378993</v>
      </c>
      <c r="C43" s="335" t="s">
        <v>424</v>
      </c>
      <c r="D43" s="290" t="s">
        <v>612</v>
      </c>
    </row>
    <row r="44" spans="1:10" x14ac:dyDescent="0.2">
      <c r="A44" s="284"/>
      <c r="B44" s="395">
        <f>B43/'Mine Production'!B12</f>
        <v>6.704970541075134E-9</v>
      </c>
      <c r="C44" s="396" t="s">
        <v>422</v>
      </c>
      <c r="D44" s="290" t="s">
        <v>612</v>
      </c>
    </row>
    <row r="45" spans="1:10" x14ac:dyDescent="0.2">
      <c r="A45" s="284"/>
      <c r="B45" s="395"/>
      <c r="C45" s="396"/>
      <c r="D45" s="290"/>
    </row>
    <row r="46" spans="1:10" x14ac:dyDescent="0.2">
      <c r="A46" s="284"/>
      <c r="B46" s="395">
        <f>B31</f>
        <v>5.6967987118648453E-7</v>
      </c>
      <c r="C46" s="395" t="str">
        <f>C31</f>
        <v>kg PM10/kg coal</v>
      </c>
      <c r="D46" s="290" t="s">
        <v>874</v>
      </c>
      <c r="H46" s="296" t="s">
        <v>876</v>
      </c>
      <c r="J46" s="296" t="s">
        <v>877</v>
      </c>
    </row>
    <row r="47" spans="1:10" x14ac:dyDescent="0.2">
      <c r="A47" s="284"/>
      <c r="B47" s="395">
        <f>B35</f>
        <v>1.6710609554803544E-8</v>
      </c>
      <c r="C47" s="395" t="str">
        <f>C35</f>
        <v>kg PM2.5/kg coal</v>
      </c>
      <c r="D47" s="290" t="s">
        <v>874</v>
      </c>
      <c r="H47" s="296" t="s">
        <v>876</v>
      </c>
      <c r="J47" s="296" t="s">
        <v>877</v>
      </c>
    </row>
    <row r="48" spans="1:10" x14ac:dyDescent="0.2">
      <c r="A48" s="284"/>
      <c r="B48" s="390"/>
      <c r="C48" s="284"/>
      <c r="H48" s="297"/>
    </row>
    <row r="49" spans="1:10" x14ac:dyDescent="0.2">
      <c r="A49" s="284"/>
      <c r="B49" s="359" t="s">
        <v>613</v>
      </c>
      <c r="C49" s="284"/>
      <c r="H49" s="297"/>
    </row>
    <row r="50" spans="1:10" x14ac:dyDescent="0.2">
      <c r="A50" s="284"/>
      <c r="B50" s="389">
        <f>SUM(B38,B29)</f>
        <v>50067.886270836061</v>
      </c>
      <c r="C50" s="359" t="s">
        <v>610</v>
      </c>
      <c r="D50" s="290" t="s">
        <v>614</v>
      </c>
      <c r="H50" s="297"/>
    </row>
    <row r="51" spans="1:10" x14ac:dyDescent="0.2">
      <c r="A51" s="284"/>
      <c r="B51" s="391">
        <f>B50/'Mine Production'!B12</f>
        <v>8.2343002387793301E-7</v>
      </c>
      <c r="C51" s="359" t="s">
        <v>615</v>
      </c>
      <c r="D51" s="290" t="s">
        <v>614</v>
      </c>
      <c r="H51" s="297"/>
    </row>
    <row r="52" spans="1:10" x14ac:dyDescent="0.2">
      <c r="A52" s="284"/>
      <c r="B52" s="357">
        <f>SUM(B31,B40,B46)</f>
        <v>1.1872523890949342E-6</v>
      </c>
      <c r="C52" s="338" t="s">
        <v>423</v>
      </c>
      <c r="D52" s="290" t="s">
        <v>883</v>
      </c>
    </row>
    <row r="53" spans="1:10" x14ac:dyDescent="0.2">
      <c r="A53" s="284"/>
      <c r="B53" s="389">
        <f>SUM(B42,B33)</f>
        <v>143462.09113541717</v>
      </c>
      <c r="C53" s="359" t="s">
        <v>599</v>
      </c>
      <c r="D53" s="290" t="s">
        <v>614</v>
      </c>
      <c r="H53" s="297"/>
    </row>
    <row r="54" spans="1:10" x14ac:dyDescent="0.2">
      <c r="A54" s="284"/>
      <c r="B54" s="391">
        <f>B53/'Mine Production'!B12</f>
        <v>2.3594164229382426E-6</v>
      </c>
      <c r="C54" s="359" t="s">
        <v>616</v>
      </c>
      <c r="D54" s="290" t="s">
        <v>614</v>
      </c>
      <c r="H54" s="297"/>
    </row>
    <row r="55" spans="1:10" x14ac:dyDescent="0.2">
      <c r="A55" s="284"/>
      <c r="B55" s="357">
        <f>SUM(B35,B44,B47)</f>
        <v>4.0126189650682222E-8</v>
      </c>
      <c r="C55" s="338" t="s">
        <v>422</v>
      </c>
      <c r="D55" s="290" t="s">
        <v>883</v>
      </c>
    </row>
    <row r="56" spans="1:10" x14ac:dyDescent="0.2">
      <c r="A56" s="284"/>
      <c r="B56" s="284"/>
      <c r="C56" s="284"/>
      <c r="H56" s="297"/>
    </row>
    <row r="57" spans="1:10" x14ac:dyDescent="0.2">
      <c r="A57" s="359" t="s">
        <v>617</v>
      </c>
      <c r="B57" s="284"/>
      <c r="C57" s="284"/>
      <c r="H57" s="297"/>
    </row>
    <row r="58" spans="1:10" x14ac:dyDescent="0.2">
      <c r="A58" s="284"/>
      <c r="B58" s="284">
        <f>(0.0021*28.1^1.1)/7.9^0.3</f>
        <v>4.4310649839705861E-2</v>
      </c>
      <c r="C58" s="359" t="s">
        <v>618</v>
      </c>
      <c r="D58" s="290" t="s">
        <v>612</v>
      </c>
      <c r="H58" s="297"/>
      <c r="J58" s="290" t="s">
        <v>646</v>
      </c>
    </row>
    <row r="59" spans="1:10" x14ac:dyDescent="0.2">
      <c r="A59" s="284"/>
      <c r="B59" s="284">
        <f>B58/Conversions!D5</f>
        <v>2.0098972677032301E-2</v>
      </c>
      <c r="C59" s="359" t="s">
        <v>619</v>
      </c>
      <c r="D59" s="290" t="s">
        <v>612</v>
      </c>
      <c r="H59" s="297"/>
    </row>
    <row r="60" spans="1:10" x14ac:dyDescent="0.2">
      <c r="A60" s="284"/>
      <c r="B60" s="359">
        <f>B59/Conversions!D15</f>
        <v>3.646967064996367E-5</v>
      </c>
      <c r="C60" s="359" t="s">
        <v>615</v>
      </c>
      <c r="D60" s="290" t="s">
        <v>612</v>
      </c>
      <c r="H60" s="297"/>
    </row>
    <row r="61" spans="1:10" x14ac:dyDescent="0.2">
      <c r="A61" s="284"/>
      <c r="B61" s="357">
        <f>B60*0.75</f>
        <v>2.7352252987472752E-5</v>
      </c>
      <c r="C61" s="338" t="s">
        <v>423</v>
      </c>
      <c r="D61" s="290" t="s">
        <v>612</v>
      </c>
    </row>
    <row r="62" spans="1:10" x14ac:dyDescent="0.2">
      <c r="A62" s="284"/>
      <c r="B62" s="284">
        <f>(0.0021*28.1^1.1)/7.9^0.3</f>
        <v>4.4310649839705861E-2</v>
      </c>
      <c r="C62" s="359" t="s">
        <v>620</v>
      </c>
      <c r="D62" s="290" t="s">
        <v>612</v>
      </c>
      <c r="H62" s="297"/>
      <c r="J62" s="290" t="s">
        <v>646</v>
      </c>
    </row>
    <row r="63" spans="1:10" x14ac:dyDescent="0.2">
      <c r="A63" s="284"/>
      <c r="B63" s="284">
        <f>B62/Conversions!D5</f>
        <v>2.0098972677032301E-2</v>
      </c>
      <c r="C63" s="359" t="s">
        <v>621</v>
      </c>
      <c r="D63" s="290" t="s">
        <v>612</v>
      </c>
      <c r="H63" s="297"/>
    </row>
    <row r="64" spans="1:10" x14ac:dyDescent="0.2">
      <c r="A64" s="284"/>
      <c r="B64" s="359">
        <f>B63/Conversions!D15</f>
        <v>3.646967064996367E-5</v>
      </c>
      <c r="C64" s="359" t="s">
        <v>616</v>
      </c>
      <c r="D64" s="290" t="s">
        <v>612</v>
      </c>
      <c r="H64" s="297"/>
    </row>
    <row r="65" spans="1:10" x14ac:dyDescent="0.2">
      <c r="A65" s="284"/>
      <c r="B65" s="357">
        <f>B60*0.017</f>
        <v>6.1998440104938239E-7</v>
      </c>
      <c r="C65" s="338" t="s">
        <v>422</v>
      </c>
      <c r="D65" s="290" t="s">
        <v>612</v>
      </c>
    </row>
    <row r="66" spans="1:10" x14ac:dyDescent="0.2">
      <c r="A66" s="284"/>
      <c r="B66" s="284"/>
      <c r="C66" s="284"/>
      <c r="H66" s="297"/>
    </row>
    <row r="67" spans="1:10" x14ac:dyDescent="0.2">
      <c r="A67" s="359" t="s">
        <v>622</v>
      </c>
      <c r="B67" s="389">
        <f>AVERAGE(168,1030,2112,1975,217)</f>
        <v>1100.4000000000001</v>
      </c>
      <c r="C67" s="359" t="s">
        <v>326</v>
      </c>
      <c r="D67" s="290" t="s">
        <v>623</v>
      </c>
      <c r="F67" s="290" t="s">
        <v>612</v>
      </c>
      <c r="H67" s="297"/>
    </row>
    <row r="68" spans="1:10" x14ac:dyDescent="0.2">
      <c r="A68" s="284"/>
      <c r="B68" s="284">
        <f>B67/20</f>
        <v>55.02</v>
      </c>
      <c r="C68" s="359" t="s">
        <v>327</v>
      </c>
      <c r="F68" s="290" t="s">
        <v>612</v>
      </c>
      <c r="H68" s="296" t="s">
        <v>656</v>
      </c>
    </row>
    <row r="69" spans="1:10" x14ac:dyDescent="0.2">
      <c r="A69" s="284"/>
      <c r="B69" s="389">
        <f>B68*Conversions!D17</f>
        <v>2396671.2000000002</v>
      </c>
      <c r="C69" s="359" t="s">
        <v>328</v>
      </c>
      <c r="E69" s="290"/>
      <c r="F69" s="290" t="s">
        <v>612</v>
      </c>
      <c r="H69" s="297"/>
    </row>
    <row r="70" spans="1:10" x14ac:dyDescent="0.2">
      <c r="A70" s="284"/>
      <c r="B70" s="284">
        <f>AVERAGE(21, 80,90,65,35)</f>
        <v>58.2</v>
      </c>
      <c r="C70" s="359" t="s">
        <v>325</v>
      </c>
      <c r="D70" s="290" t="s">
        <v>625</v>
      </c>
      <c r="F70" s="290" t="s">
        <v>612</v>
      </c>
      <c r="H70" s="297"/>
    </row>
    <row r="71" spans="1:10" x14ac:dyDescent="0.2">
      <c r="A71" s="284"/>
      <c r="B71" s="389">
        <f>B70*B69</f>
        <v>139486263.84</v>
      </c>
      <c r="C71" s="359" t="s">
        <v>329</v>
      </c>
      <c r="D71" s="290"/>
      <c r="F71" s="290" t="s">
        <v>612</v>
      </c>
      <c r="H71" s="297"/>
    </row>
    <row r="72" spans="1:10" x14ac:dyDescent="0.2">
      <c r="A72" s="284"/>
      <c r="B72" s="388">
        <f>13/12</f>
        <v>1.0833333333333333</v>
      </c>
      <c r="C72" s="359" t="s">
        <v>325</v>
      </c>
      <c r="D72" s="290" t="s">
        <v>626</v>
      </c>
      <c r="F72" s="290" t="s">
        <v>612</v>
      </c>
      <c r="H72" s="297"/>
      <c r="J72" s="290" t="s">
        <v>647</v>
      </c>
    </row>
    <row r="73" spans="1:10" x14ac:dyDescent="0.2">
      <c r="A73" s="284"/>
      <c r="B73" s="284">
        <f>138/12</f>
        <v>11.5</v>
      </c>
      <c r="C73" s="359" t="s">
        <v>325</v>
      </c>
      <c r="D73" s="290" t="s">
        <v>627</v>
      </c>
      <c r="F73" s="290" t="s">
        <v>612</v>
      </c>
      <c r="H73" s="297"/>
      <c r="J73" s="290" t="s">
        <v>648</v>
      </c>
    </row>
    <row r="74" spans="1:10" x14ac:dyDescent="0.2">
      <c r="A74" s="284"/>
      <c r="B74" s="284">
        <f>B73*Conversions!D19*B72</f>
        <v>65780</v>
      </c>
      <c r="C74" s="359" t="s">
        <v>628</v>
      </c>
      <c r="D74" s="290" t="s">
        <v>629</v>
      </c>
      <c r="F74" s="290" t="s">
        <v>612</v>
      </c>
      <c r="H74" s="297"/>
    </row>
    <row r="75" spans="1:10" x14ac:dyDescent="0.2">
      <c r="A75" s="284"/>
      <c r="B75" s="284">
        <f>B71/B74</f>
        <v>2120.4965618729098</v>
      </c>
      <c r="C75" s="359" t="s">
        <v>630</v>
      </c>
      <c r="D75" s="290" t="s">
        <v>631</v>
      </c>
      <c r="F75" s="290" t="s">
        <v>612</v>
      </c>
      <c r="H75" s="297"/>
    </row>
    <row r="76" spans="1:10" x14ac:dyDescent="0.2">
      <c r="A76" s="284"/>
      <c r="B76" s="392">
        <f>B75/'Mine Production'!B12</f>
        <v>3.4874261020944192E-8</v>
      </c>
      <c r="C76" s="359" t="s">
        <v>632</v>
      </c>
      <c r="D76" s="290" t="s">
        <v>633</v>
      </c>
      <c r="F76" s="290" t="s">
        <v>612</v>
      </c>
      <c r="H76" s="297"/>
    </row>
    <row r="77" spans="1:10" x14ac:dyDescent="0.2">
      <c r="A77" s="359"/>
      <c r="B77" s="388">
        <f>0.051*5^2</f>
        <v>1.2749999999999999</v>
      </c>
      <c r="C77" s="359" t="s">
        <v>634</v>
      </c>
      <c r="D77" s="290" t="s">
        <v>635</v>
      </c>
      <c r="F77" s="290" t="s">
        <v>612</v>
      </c>
      <c r="G77" s="290"/>
      <c r="H77" s="301" t="s">
        <v>624</v>
      </c>
      <c r="J77" s="290" t="s">
        <v>646</v>
      </c>
    </row>
    <row r="78" spans="1:10" x14ac:dyDescent="0.2">
      <c r="A78" s="284"/>
      <c r="B78" s="393">
        <f>B77/Conversions!D5*B76</f>
        <v>2.0168840853323085E-8</v>
      </c>
      <c r="C78" s="359" t="s">
        <v>604</v>
      </c>
      <c r="F78" s="290" t="s">
        <v>612</v>
      </c>
      <c r="H78" s="302"/>
    </row>
    <row r="79" spans="1:10" x14ac:dyDescent="0.2">
      <c r="A79" s="284"/>
      <c r="B79" s="357">
        <f>B78*0.6</f>
        <v>1.2101304511993851E-8</v>
      </c>
      <c r="C79" s="338" t="s">
        <v>423</v>
      </c>
      <c r="F79" s="290" t="s">
        <v>612</v>
      </c>
      <c r="H79" s="284"/>
    </row>
    <row r="80" spans="1:10" x14ac:dyDescent="0.2">
      <c r="A80" s="359"/>
      <c r="B80" s="388">
        <f>0.04*5^2.5</f>
        <v>2.2360679774997894</v>
      </c>
      <c r="C80" s="359" t="s">
        <v>637</v>
      </c>
      <c r="D80" s="290" t="s">
        <v>635</v>
      </c>
      <c r="F80" s="290" t="s">
        <v>612</v>
      </c>
      <c r="G80" s="290"/>
      <c r="H80" s="301" t="s">
        <v>624</v>
      </c>
      <c r="J80" s="290" t="s">
        <v>646</v>
      </c>
    </row>
    <row r="81" spans="1:10" x14ac:dyDescent="0.2">
      <c r="A81" s="284"/>
      <c r="B81" s="394">
        <f>B80/Conversions!D5*B76</f>
        <v>3.537168562776885E-8</v>
      </c>
      <c r="C81" s="359" t="s">
        <v>600</v>
      </c>
      <c r="F81" s="290" t="s">
        <v>612</v>
      </c>
      <c r="H81" s="297"/>
    </row>
    <row r="82" spans="1:10" x14ac:dyDescent="0.2">
      <c r="A82" s="284"/>
      <c r="B82" s="357">
        <f>B81*0.031</f>
        <v>1.0965222544608344E-9</v>
      </c>
      <c r="C82" s="338" t="s">
        <v>422</v>
      </c>
      <c r="F82" s="290" t="s">
        <v>612</v>
      </c>
    </row>
    <row r="83" spans="1:10" x14ac:dyDescent="0.2">
      <c r="A83" s="284"/>
      <c r="B83" s="284"/>
      <c r="C83" s="284"/>
      <c r="H83" s="297"/>
    </row>
    <row r="84" spans="1:10" x14ac:dyDescent="0.2">
      <c r="A84" s="359" t="s">
        <v>638</v>
      </c>
      <c r="B84" s="284">
        <f>0.72*(AVERAGE(5.1,13.4,10.7,11.2,13.4))</f>
        <v>7.7471999999999994</v>
      </c>
      <c r="C84" s="359" t="s">
        <v>331</v>
      </c>
      <c r="D84" s="290" t="s">
        <v>609</v>
      </c>
      <c r="H84" s="297"/>
      <c r="J84" s="290" t="s">
        <v>646</v>
      </c>
    </row>
    <row r="85" spans="1:10" x14ac:dyDescent="0.2">
      <c r="B85" s="286">
        <f>(B84*24*365*B67)*0.1</f>
        <v>7467916.5388799999</v>
      </c>
      <c r="C85" s="290" t="s">
        <v>323</v>
      </c>
      <c r="D85" s="290" t="s">
        <v>609</v>
      </c>
      <c r="H85" s="297" t="s">
        <v>658</v>
      </c>
    </row>
    <row r="86" spans="1:10" x14ac:dyDescent="0.2">
      <c r="B86" s="340">
        <f>B85/'Mine Production'!B12</f>
        <v>1.228193788861877E-4</v>
      </c>
      <c r="C86" s="290" t="s">
        <v>332</v>
      </c>
      <c r="D86" s="290" t="s">
        <v>609</v>
      </c>
      <c r="H86" s="297"/>
    </row>
    <row r="87" spans="1:10" x14ac:dyDescent="0.2">
      <c r="B87" s="340">
        <f>B86/Conversions!D5</f>
        <v>5.5709933150913845E-5</v>
      </c>
      <c r="C87" s="290" t="s">
        <v>275</v>
      </c>
      <c r="D87" s="290" t="s">
        <v>609</v>
      </c>
      <c r="H87" s="297"/>
    </row>
    <row r="88" spans="1:10" x14ac:dyDescent="0.2">
      <c r="B88" s="357">
        <f>B87*0.35</f>
        <v>1.9498476602819844E-5</v>
      </c>
      <c r="C88" s="338" t="s">
        <v>423</v>
      </c>
      <c r="D88" s="290" t="s">
        <v>609</v>
      </c>
      <c r="H88" s="296" t="s">
        <v>660</v>
      </c>
      <c r="J88" s="290" t="s">
        <v>655</v>
      </c>
    </row>
    <row r="89" spans="1:10" x14ac:dyDescent="0.2">
      <c r="B89" s="357">
        <f>B87*0.053</f>
        <v>2.9526264569984335E-6</v>
      </c>
      <c r="C89" s="338" t="s">
        <v>422</v>
      </c>
      <c r="D89" s="290" t="s">
        <v>609</v>
      </c>
      <c r="H89" s="296" t="s">
        <v>660</v>
      </c>
      <c r="J89" s="290" t="s">
        <v>655</v>
      </c>
    </row>
    <row r="90" spans="1:10" x14ac:dyDescent="0.2">
      <c r="H90" s="297"/>
    </row>
    <row r="91" spans="1:10" x14ac:dyDescent="0.2">
      <c r="A91" s="290" t="s">
        <v>639</v>
      </c>
      <c r="B91" s="290">
        <f>SUM(B87,B78,B60,B51,B21,B11)</f>
        <v>1.0031420056632031E-4</v>
      </c>
      <c r="C91" s="290" t="s">
        <v>604</v>
      </c>
      <c r="H91" s="297"/>
    </row>
    <row r="92" spans="1:10" x14ac:dyDescent="0.2">
      <c r="A92" s="290"/>
      <c r="B92" s="295">
        <f>SUM(B88,B79,B61,B52,B22,B12)</f>
        <v>5.3504488532064758E-5</v>
      </c>
      <c r="C92" s="295" t="s">
        <v>423</v>
      </c>
      <c r="H92" s="297"/>
    </row>
    <row r="93" spans="1:10" x14ac:dyDescent="0.2">
      <c r="A93" s="290"/>
      <c r="B93" s="298">
        <f>SUM(B87,B81,B64,B54,B25,B11)</f>
        <v>1.2954764539502143E-4</v>
      </c>
      <c r="C93" s="290" t="s">
        <v>600</v>
      </c>
      <c r="H93" s="297"/>
    </row>
    <row r="94" spans="1:10" x14ac:dyDescent="0.2">
      <c r="A94" s="290"/>
      <c r="B94" s="299">
        <f>SUM(B89,B82,B65,B55,B26,B13)</f>
        <v>3.7530245950710545E-6</v>
      </c>
      <c r="C94" s="295" t="s">
        <v>422</v>
      </c>
      <c r="H94" s="297"/>
    </row>
    <row r="95" spans="1:10" x14ac:dyDescent="0.2">
      <c r="B95" s="338">
        <f>B92</f>
        <v>5.3504488532064758E-5</v>
      </c>
      <c r="C95" s="295" t="s">
        <v>423</v>
      </c>
      <c r="H95" s="296"/>
    </row>
    <row r="96" spans="1:10" x14ac:dyDescent="0.2">
      <c r="B96" s="339">
        <f>B94</f>
        <v>3.7530245950710545E-6</v>
      </c>
      <c r="C96" s="295" t="s">
        <v>422</v>
      </c>
      <c r="H96" s="296"/>
    </row>
    <row r="97" spans="1:33" x14ac:dyDescent="0.2">
      <c r="H97" s="297"/>
    </row>
    <row r="98" spans="1:33" s="411" customFormat="1" x14ac:dyDescent="0.2">
      <c r="H98" s="410"/>
    </row>
    <row r="99" spans="1:33" ht="15" x14ac:dyDescent="0.25">
      <c r="A99" s="412"/>
      <c r="H99" s="297"/>
    </row>
    <row r="100" spans="1:33" x14ac:dyDescent="0.2">
      <c r="A100" s="437" t="s">
        <v>921</v>
      </c>
      <c r="H100" s="297"/>
    </row>
    <row r="101" spans="1:33" x14ac:dyDescent="0.2">
      <c r="A101" s="290" t="s">
        <v>922</v>
      </c>
      <c r="B101" s="286">
        <f>0.15/1.5</f>
        <v>9.9999999999999992E-2</v>
      </c>
      <c r="C101" s="290" t="s">
        <v>923</v>
      </c>
      <c r="H101" s="297"/>
      <c r="J101" s="290" t="s">
        <v>924</v>
      </c>
    </row>
    <row r="102" spans="1:33" x14ac:dyDescent="0.2">
      <c r="A102" s="290" t="s">
        <v>925</v>
      </c>
      <c r="B102" s="286">
        <v>0.15</v>
      </c>
      <c r="C102" s="290" t="s">
        <v>923</v>
      </c>
      <c r="H102" s="297"/>
      <c r="J102" s="290" t="s">
        <v>944</v>
      </c>
    </row>
    <row r="103" spans="1:33" ht="15" x14ac:dyDescent="0.25">
      <c r="A103" s="412"/>
      <c r="H103" s="297"/>
    </row>
    <row r="104" spans="1:33" x14ac:dyDescent="0.2">
      <c r="A104" s="437" t="s">
        <v>931</v>
      </c>
      <c r="H104" s="297"/>
    </row>
    <row r="105" spans="1:33" x14ac:dyDescent="0.2">
      <c r="A105" s="286" t="s">
        <v>878</v>
      </c>
      <c r="B105" s="286">
        <v>18</v>
      </c>
      <c r="C105" s="286" t="s">
        <v>879</v>
      </c>
      <c r="H105" s="297"/>
      <c r="J105" s="290" t="s">
        <v>880</v>
      </c>
    </row>
    <row r="106" spans="1:33" x14ac:dyDescent="0.2">
      <c r="A106" s="290" t="s">
        <v>878</v>
      </c>
      <c r="B106" s="286">
        <f>B105*10^6</f>
        <v>18000000</v>
      </c>
      <c r="C106" s="290" t="s">
        <v>881</v>
      </c>
      <c r="J106" s="290" t="s">
        <v>880</v>
      </c>
      <c r="AA106" s="295"/>
      <c r="AB106" s="295"/>
      <c r="AC106" s="295"/>
      <c r="AD106" s="295"/>
      <c r="AE106" s="295"/>
      <c r="AF106" s="295"/>
      <c r="AG106" s="295"/>
    </row>
    <row r="107" spans="1:33" x14ac:dyDescent="0.2">
      <c r="AA107" s="290"/>
      <c r="AB107" s="290"/>
      <c r="AC107" s="290"/>
      <c r="AD107" s="290"/>
      <c r="AE107" s="290"/>
      <c r="AF107" s="290"/>
      <c r="AG107" s="290"/>
    </row>
    <row r="108" spans="1:33" x14ac:dyDescent="0.2">
      <c r="A108" s="290" t="s">
        <v>926</v>
      </c>
      <c r="B108" s="438">
        <f>191.02/$B$106</f>
        <v>1.0612222222222223E-5</v>
      </c>
      <c r="C108" s="290" t="s">
        <v>423</v>
      </c>
      <c r="D108" s="286" t="s">
        <v>833</v>
      </c>
      <c r="J108" s="290" t="s">
        <v>938</v>
      </c>
      <c r="AA108" s="290"/>
      <c r="AB108" s="290"/>
      <c r="AC108" s="290"/>
      <c r="AD108" s="290"/>
      <c r="AE108" s="290"/>
      <c r="AF108" s="290"/>
      <c r="AG108" s="290"/>
    </row>
    <row r="109" spans="1:33" x14ac:dyDescent="0.2">
      <c r="A109" s="290" t="s">
        <v>927</v>
      </c>
      <c r="B109" s="438">
        <f>163.68/$B$106</f>
        <v>9.0933333333333332E-6</v>
      </c>
      <c r="C109" s="290" t="s">
        <v>423</v>
      </c>
      <c r="D109" s="286" t="s">
        <v>235</v>
      </c>
      <c r="J109" s="290" t="s">
        <v>938</v>
      </c>
      <c r="AA109" s="290"/>
      <c r="AB109" s="290"/>
      <c r="AC109" s="290"/>
      <c r="AD109" s="290"/>
      <c r="AE109" s="290"/>
      <c r="AF109" s="290"/>
      <c r="AG109" s="290"/>
    </row>
    <row r="110" spans="1:33" x14ac:dyDescent="0.2">
      <c r="A110" s="290" t="s">
        <v>928</v>
      </c>
      <c r="B110" s="438">
        <f>10.89/$B$106</f>
        <v>6.0500000000000003E-7</v>
      </c>
      <c r="C110" s="290" t="s">
        <v>423</v>
      </c>
      <c r="D110" s="286" t="s">
        <v>832</v>
      </c>
      <c r="J110" s="290" t="s">
        <v>939</v>
      </c>
      <c r="AA110" s="290"/>
      <c r="AB110" s="290"/>
      <c r="AC110" s="290"/>
      <c r="AD110" s="290"/>
      <c r="AE110" s="290"/>
      <c r="AF110" s="290"/>
      <c r="AG110" s="290"/>
    </row>
    <row r="111" spans="1:33" x14ac:dyDescent="0.2">
      <c r="A111" s="290" t="s">
        <v>929</v>
      </c>
      <c r="B111" s="438">
        <f>1.56/$B$106</f>
        <v>8.6666666666666675E-8</v>
      </c>
      <c r="C111" s="290" t="s">
        <v>423</v>
      </c>
      <c r="D111" s="286" t="s">
        <v>837</v>
      </c>
      <c r="H111" s="296" t="s">
        <v>937</v>
      </c>
      <c r="J111" s="286" t="s">
        <v>938</v>
      </c>
      <c r="AA111" s="290"/>
      <c r="AB111" s="290"/>
      <c r="AC111" s="290"/>
      <c r="AD111" s="290"/>
      <c r="AE111" s="290"/>
      <c r="AF111" s="290"/>
      <c r="AG111" s="290"/>
    </row>
    <row r="112" spans="1:33" x14ac:dyDescent="0.2">
      <c r="AA112" s="290"/>
      <c r="AB112" s="290"/>
      <c r="AC112" s="290"/>
      <c r="AD112" s="290"/>
      <c r="AE112" s="290"/>
      <c r="AF112" s="290"/>
      <c r="AG112" s="290"/>
    </row>
    <row r="113" spans="1:33" x14ac:dyDescent="0.2">
      <c r="A113" s="290" t="s">
        <v>930</v>
      </c>
      <c r="B113" s="438">
        <f>273.5/$B$106</f>
        <v>1.5194444444444444E-5</v>
      </c>
      <c r="C113" s="290" t="s">
        <v>423</v>
      </c>
      <c r="D113" s="286" t="s">
        <v>837</v>
      </c>
      <c r="H113" s="296" t="s">
        <v>937</v>
      </c>
      <c r="J113" s="286" t="s">
        <v>938</v>
      </c>
      <c r="AA113" s="290"/>
      <c r="AB113" s="290"/>
      <c r="AC113" s="290"/>
      <c r="AD113" s="290"/>
      <c r="AE113" s="290"/>
      <c r="AF113" s="290"/>
      <c r="AG113" s="290"/>
    </row>
    <row r="114" spans="1:33" x14ac:dyDescent="0.2">
      <c r="AA114" s="290"/>
      <c r="AB114" s="290"/>
      <c r="AC114" s="290"/>
      <c r="AD114" s="290"/>
      <c r="AE114" s="290"/>
      <c r="AF114" s="290"/>
      <c r="AG114" s="290"/>
    </row>
    <row r="115" spans="1:33" x14ac:dyDescent="0.2">
      <c r="A115" s="437" t="s">
        <v>932</v>
      </c>
      <c r="B115" s="438"/>
      <c r="C115" s="290"/>
      <c r="AA115" s="359"/>
      <c r="AB115" s="359"/>
      <c r="AC115" s="359"/>
      <c r="AD115" s="359"/>
      <c r="AE115" s="290"/>
      <c r="AF115" s="290"/>
      <c r="AG115" s="290"/>
    </row>
    <row r="116" spans="1:33" x14ac:dyDescent="0.2">
      <c r="A116" s="290" t="s">
        <v>926</v>
      </c>
      <c r="B116" s="438">
        <f>B108*$B$101</f>
        <v>1.0612222222222221E-6</v>
      </c>
      <c r="C116" s="290" t="s">
        <v>422</v>
      </c>
      <c r="D116" s="286" t="s">
        <v>833</v>
      </c>
      <c r="G116" s="438"/>
      <c r="J116" s="286" t="s">
        <v>938</v>
      </c>
      <c r="AA116" s="290"/>
      <c r="AB116" s="290"/>
      <c r="AC116" s="290"/>
      <c r="AD116" s="290"/>
      <c r="AE116" s="290"/>
      <c r="AF116" s="290"/>
      <c r="AG116" s="290"/>
    </row>
    <row r="117" spans="1:33" x14ac:dyDescent="0.2">
      <c r="A117" s="290" t="s">
        <v>927</v>
      </c>
      <c r="B117" s="438">
        <f t="shared" ref="B117:B119" si="0">B109*$B$101</f>
        <v>9.0933333333333322E-7</v>
      </c>
      <c r="C117" s="290" t="s">
        <v>422</v>
      </c>
      <c r="D117" s="286" t="s">
        <v>235</v>
      </c>
      <c r="J117" s="286" t="s">
        <v>938</v>
      </c>
      <c r="AA117" s="290"/>
      <c r="AB117" s="290"/>
      <c r="AC117" s="290"/>
      <c r="AD117" s="290"/>
      <c r="AE117" s="290"/>
      <c r="AF117" s="290"/>
      <c r="AG117" s="290"/>
    </row>
    <row r="118" spans="1:33" x14ac:dyDescent="0.2">
      <c r="A118" s="290" t="s">
        <v>928</v>
      </c>
      <c r="B118" s="438">
        <f t="shared" si="0"/>
        <v>6.0499999999999992E-8</v>
      </c>
      <c r="C118" s="290" t="s">
        <v>422</v>
      </c>
      <c r="D118" s="286" t="s">
        <v>832</v>
      </c>
      <c r="J118" s="290" t="s">
        <v>939</v>
      </c>
      <c r="AA118" s="290"/>
      <c r="AB118" s="290"/>
      <c r="AC118" s="290"/>
      <c r="AD118" s="290"/>
      <c r="AE118" s="290"/>
      <c r="AF118" s="290"/>
      <c r="AG118" s="290"/>
    </row>
    <row r="119" spans="1:33" x14ac:dyDescent="0.2">
      <c r="A119" s="290" t="s">
        <v>929</v>
      </c>
      <c r="B119" s="438">
        <f t="shared" si="0"/>
        <v>8.6666666666666665E-9</v>
      </c>
      <c r="C119" s="290" t="s">
        <v>422</v>
      </c>
      <c r="D119" s="286" t="s">
        <v>837</v>
      </c>
      <c r="H119" s="296" t="s">
        <v>937</v>
      </c>
      <c r="J119" s="286" t="s">
        <v>938</v>
      </c>
      <c r="AA119" s="290"/>
      <c r="AB119" s="290"/>
      <c r="AC119" s="290"/>
      <c r="AD119" s="290"/>
      <c r="AE119" s="290"/>
      <c r="AF119" s="290"/>
      <c r="AG119" s="290"/>
    </row>
    <row r="120" spans="1:33" x14ac:dyDescent="0.2">
      <c r="B120" s="438"/>
      <c r="AA120" s="290"/>
      <c r="AB120" s="290"/>
      <c r="AC120" s="290"/>
      <c r="AD120" s="290"/>
      <c r="AE120" s="290"/>
      <c r="AF120" s="290"/>
      <c r="AG120" s="290"/>
    </row>
    <row r="121" spans="1:33" x14ac:dyDescent="0.2">
      <c r="A121" s="290" t="s">
        <v>930</v>
      </c>
      <c r="B121" s="438">
        <f>B113*B102</f>
        <v>2.2791666666666663E-6</v>
      </c>
      <c r="C121" s="290" t="s">
        <v>422</v>
      </c>
      <c r="D121" s="286" t="s">
        <v>837</v>
      </c>
      <c r="H121" s="296" t="s">
        <v>937</v>
      </c>
      <c r="J121" s="290" t="s">
        <v>938</v>
      </c>
      <c r="AA121" s="290"/>
      <c r="AB121" s="290"/>
      <c r="AC121" s="290"/>
      <c r="AD121" s="290"/>
      <c r="AE121" s="290"/>
      <c r="AF121" s="290"/>
      <c r="AG121" s="290"/>
    </row>
    <row r="122" spans="1:33" x14ac:dyDescent="0.2">
      <c r="AA122" s="290"/>
      <c r="AB122" s="290"/>
      <c r="AC122" s="290"/>
      <c r="AD122" s="290"/>
      <c r="AE122" s="290"/>
      <c r="AF122" s="290"/>
      <c r="AG122" s="290"/>
    </row>
    <row r="123" spans="1:33" x14ac:dyDescent="0.2">
      <c r="A123" s="437" t="s">
        <v>933</v>
      </c>
      <c r="B123" s="438"/>
      <c r="C123" s="290"/>
      <c r="AA123" s="290"/>
      <c r="AB123" s="290"/>
      <c r="AC123" s="290"/>
      <c r="AD123" s="290"/>
      <c r="AE123" s="290"/>
      <c r="AF123" s="290"/>
      <c r="AG123" s="290"/>
    </row>
    <row r="124" spans="1:33" x14ac:dyDescent="0.2">
      <c r="A124" s="290" t="s">
        <v>926</v>
      </c>
      <c r="B124" s="438">
        <f>B108-B116</f>
        <v>9.5510000000000005E-6</v>
      </c>
      <c r="C124" s="290" t="s">
        <v>945</v>
      </c>
      <c r="D124" s="286" t="s">
        <v>833</v>
      </c>
      <c r="J124" s="286" t="s">
        <v>938</v>
      </c>
      <c r="AA124" s="290"/>
      <c r="AB124" s="290"/>
      <c r="AC124" s="290"/>
      <c r="AD124" s="290"/>
      <c r="AE124" s="290"/>
      <c r="AF124" s="290"/>
      <c r="AG124" s="290"/>
    </row>
    <row r="125" spans="1:33" x14ac:dyDescent="0.2">
      <c r="A125" s="290" t="s">
        <v>927</v>
      </c>
      <c r="B125" s="438">
        <f t="shared" ref="B125:B129" si="1">B109-B117</f>
        <v>8.1839999999999999E-6</v>
      </c>
      <c r="C125" s="286" t="s">
        <v>945</v>
      </c>
      <c r="D125" s="286" t="s">
        <v>235</v>
      </c>
      <c r="J125" s="286" t="s">
        <v>938</v>
      </c>
      <c r="AA125" s="290"/>
      <c r="AB125" s="290"/>
      <c r="AC125" s="290"/>
      <c r="AD125" s="290"/>
      <c r="AE125" s="290"/>
      <c r="AF125" s="290"/>
      <c r="AG125" s="290"/>
    </row>
    <row r="126" spans="1:33" x14ac:dyDescent="0.2">
      <c r="A126" s="290" t="s">
        <v>928</v>
      </c>
      <c r="B126" s="438">
        <f t="shared" si="1"/>
        <v>5.4450000000000004E-7</v>
      </c>
      <c r="C126" s="290" t="s">
        <v>945</v>
      </c>
      <c r="D126" s="286" t="s">
        <v>832</v>
      </c>
      <c r="J126" s="290" t="s">
        <v>939</v>
      </c>
      <c r="AA126" s="290"/>
      <c r="AB126" s="290"/>
      <c r="AC126" s="290"/>
      <c r="AD126" s="290"/>
      <c r="AE126" s="290"/>
      <c r="AF126" s="290"/>
      <c r="AG126" s="290"/>
    </row>
    <row r="127" spans="1:33" x14ac:dyDescent="0.2">
      <c r="A127" s="290" t="s">
        <v>929</v>
      </c>
      <c r="B127" s="438">
        <f t="shared" si="1"/>
        <v>7.800000000000001E-8</v>
      </c>
      <c r="C127" s="290" t="s">
        <v>945</v>
      </c>
      <c r="D127" s="286" t="s">
        <v>837</v>
      </c>
      <c r="H127" s="296" t="s">
        <v>937</v>
      </c>
      <c r="J127" s="286" t="s">
        <v>938</v>
      </c>
      <c r="AA127" s="290"/>
      <c r="AB127" s="290"/>
      <c r="AC127" s="290"/>
      <c r="AD127" s="290"/>
      <c r="AE127" s="290"/>
      <c r="AF127" s="290"/>
      <c r="AG127" s="290"/>
    </row>
    <row r="128" spans="1:33" x14ac:dyDescent="0.2">
      <c r="B128" s="438"/>
      <c r="C128" s="290"/>
      <c r="AA128" s="290"/>
      <c r="AB128" s="290"/>
      <c r="AC128" s="290"/>
      <c r="AD128" s="290"/>
      <c r="AE128" s="290"/>
      <c r="AF128" s="290"/>
      <c r="AG128" s="290"/>
    </row>
    <row r="129" spans="1:33" x14ac:dyDescent="0.2">
      <c r="A129" s="290" t="s">
        <v>930</v>
      </c>
      <c r="B129" s="438">
        <f t="shared" si="1"/>
        <v>1.2915277777777777E-5</v>
      </c>
      <c r="C129" s="290" t="s">
        <v>945</v>
      </c>
      <c r="D129" s="286" t="s">
        <v>837</v>
      </c>
      <c r="H129" s="296" t="s">
        <v>937</v>
      </c>
      <c r="J129" s="286" t="s">
        <v>938</v>
      </c>
      <c r="AA129" s="290"/>
      <c r="AB129" s="290"/>
      <c r="AC129" s="290"/>
      <c r="AD129" s="290"/>
      <c r="AE129" s="290"/>
      <c r="AF129" s="290"/>
      <c r="AG129" s="290"/>
    </row>
    <row r="130" spans="1:33" x14ac:dyDescent="0.2">
      <c r="B130" s="438"/>
      <c r="C130" s="290"/>
      <c r="AA130" s="290"/>
      <c r="AB130" s="290"/>
      <c r="AC130" s="290"/>
      <c r="AD130" s="290"/>
      <c r="AE130" s="290"/>
      <c r="AF130" s="290"/>
      <c r="AG130" s="290"/>
    </row>
    <row r="131" spans="1:33" x14ac:dyDescent="0.2">
      <c r="B131" s="438"/>
      <c r="C131" s="290"/>
      <c r="AA131" s="290"/>
      <c r="AB131" s="290"/>
      <c r="AC131" s="290"/>
      <c r="AD131" s="290"/>
      <c r="AE131" s="290"/>
      <c r="AF131" s="290"/>
      <c r="AG131" s="290"/>
    </row>
    <row r="132" spans="1:33" x14ac:dyDescent="0.2">
      <c r="B132" s="438"/>
      <c r="C132" s="290"/>
      <c r="AA132" s="290"/>
      <c r="AB132" s="290"/>
      <c r="AC132" s="290"/>
      <c r="AD132" s="290"/>
      <c r="AE132" s="290"/>
      <c r="AF132" s="290"/>
      <c r="AG132" s="290"/>
    </row>
    <row r="133" spans="1:33" x14ac:dyDescent="0.2">
      <c r="B133" s="438"/>
      <c r="C133" s="290"/>
    </row>
    <row r="134" spans="1:33" x14ac:dyDescent="0.2">
      <c r="C134" s="290"/>
    </row>
    <row r="137" spans="1:33" ht="15" x14ac:dyDescent="0.25">
      <c r="A137" s="400"/>
    </row>
    <row r="139" spans="1:33" x14ac:dyDescent="0.2">
      <c r="A139" s="290"/>
      <c r="B139" s="438"/>
    </row>
    <row r="140" spans="1:33" x14ac:dyDescent="0.2">
      <c r="A140" s="290"/>
      <c r="B140" s="438"/>
    </row>
    <row r="141" spans="1:33" x14ac:dyDescent="0.2">
      <c r="A141" s="290"/>
      <c r="B141" s="438"/>
    </row>
    <row r="142" spans="1:33" x14ac:dyDescent="0.2">
      <c r="A142" s="290"/>
      <c r="B142" s="438"/>
    </row>
    <row r="143" spans="1:33" x14ac:dyDescent="0.2">
      <c r="A143" s="290"/>
      <c r="B143" s="438"/>
    </row>
    <row r="146" spans="1:2" ht="15" x14ac:dyDescent="0.25">
      <c r="A146" s="400"/>
    </row>
    <row r="148" spans="1:2" x14ac:dyDescent="0.2">
      <c r="B148" s="438"/>
    </row>
    <row r="149" spans="1:2" x14ac:dyDescent="0.2">
      <c r="B149" s="438"/>
    </row>
    <row r="150" spans="1:2" x14ac:dyDescent="0.2">
      <c r="B150" s="438"/>
    </row>
    <row r="151" spans="1:2" x14ac:dyDescent="0.2">
      <c r="B151" s="438"/>
    </row>
    <row r="152" spans="1:2" x14ac:dyDescent="0.2">
      <c r="B152" s="438"/>
    </row>
    <row r="155" spans="1:2" x14ac:dyDescent="0.2">
      <c r="B155" s="438"/>
    </row>
    <row r="156" spans="1:2" x14ac:dyDescent="0.2">
      <c r="B156" s="438"/>
    </row>
    <row r="157" spans="1:2" x14ac:dyDescent="0.2">
      <c r="B157" s="438"/>
    </row>
    <row r="158" spans="1:2" x14ac:dyDescent="0.2">
      <c r="B158" s="438"/>
    </row>
    <row r="159" spans="1:2" x14ac:dyDescent="0.2">
      <c r="B159" s="438"/>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9"/>
  <sheetViews>
    <sheetView topLeftCell="A13" workbookViewId="0">
      <selection activeCell="E24" sqref="E24"/>
    </sheetView>
  </sheetViews>
  <sheetFormatPr defaultRowHeight="12.75" x14ac:dyDescent="0.2"/>
  <cols>
    <col min="1" max="1" width="59.28515625" style="125" customWidth="1"/>
    <col min="2" max="2" width="11" style="125" customWidth="1"/>
    <col min="3" max="5" width="11" style="134" customWidth="1"/>
    <col min="6" max="6" width="16.28515625" style="125" bestFit="1" customWidth="1"/>
    <col min="7" max="7" width="20.42578125" style="125" bestFit="1" customWidth="1"/>
    <col min="8" max="8" width="28" style="125" customWidth="1"/>
    <col min="9" max="9" width="14.28515625" style="125" customWidth="1"/>
    <col min="10" max="11" width="16.5703125" style="125" bestFit="1" customWidth="1"/>
    <col min="12" max="13" width="9.140625" style="125" customWidth="1"/>
    <col min="14" max="14" width="19" style="180" customWidth="1"/>
    <col min="15" max="261" width="9" style="125"/>
    <col min="262" max="262" width="25.85546875" style="125" customWidth="1"/>
    <col min="263" max="264" width="11" style="125" customWidth="1"/>
    <col min="265" max="265" width="22.85546875" style="125" customWidth="1"/>
    <col min="266" max="267" width="11" style="125" customWidth="1"/>
    <col min="268" max="269" width="9.140625" style="125" customWidth="1"/>
    <col min="270" max="270" width="19" style="125" customWidth="1"/>
    <col min="271" max="517" width="9" style="125"/>
    <col min="518" max="518" width="25.85546875" style="125" customWidth="1"/>
    <col min="519" max="520" width="11" style="125" customWidth="1"/>
    <col min="521" max="521" width="22.85546875" style="125" customWidth="1"/>
    <col min="522" max="523" width="11" style="125" customWidth="1"/>
    <col min="524" max="525" width="9.140625" style="125" customWidth="1"/>
    <col min="526" max="526" width="19" style="125" customWidth="1"/>
    <col min="527" max="773" width="9" style="125"/>
    <col min="774" max="774" width="25.85546875" style="125" customWidth="1"/>
    <col min="775" max="776" width="11" style="125" customWidth="1"/>
    <col min="777" max="777" width="22.85546875" style="125" customWidth="1"/>
    <col min="778" max="779" width="11" style="125" customWidth="1"/>
    <col min="780" max="781" width="9.140625" style="125" customWidth="1"/>
    <col min="782" max="782" width="19" style="125" customWidth="1"/>
    <col min="783" max="1029" width="9" style="125"/>
    <col min="1030" max="1030" width="25.85546875" style="125" customWidth="1"/>
    <col min="1031" max="1032" width="11" style="125" customWidth="1"/>
    <col min="1033" max="1033" width="22.85546875" style="125" customWidth="1"/>
    <col min="1034" max="1035" width="11" style="125" customWidth="1"/>
    <col min="1036" max="1037" width="9.140625" style="125" customWidth="1"/>
    <col min="1038" max="1038" width="19" style="125" customWidth="1"/>
    <col min="1039" max="1285" width="9" style="125"/>
    <col min="1286" max="1286" width="25.85546875" style="125" customWidth="1"/>
    <col min="1287" max="1288" width="11" style="125" customWidth="1"/>
    <col min="1289" max="1289" width="22.85546875" style="125" customWidth="1"/>
    <col min="1290" max="1291" width="11" style="125" customWidth="1"/>
    <col min="1292" max="1293" width="9.140625" style="125" customWidth="1"/>
    <col min="1294" max="1294" width="19" style="125" customWidth="1"/>
    <col min="1295" max="1541" width="9" style="125"/>
    <col min="1542" max="1542" width="25.85546875" style="125" customWidth="1"/>
    <col min="1543" max="1544" width="11" style="125" customWidth="1"/>
    <col min="1545" max="1545" width="22.85546875" style="125" customWidth="1"/>
    <col min="1546" max="1547" width="11" style="125" customWidth="1"/>
    <col min="1548" max="1549" width="9.140625" style="125" customWidth="1"/>
    <col min="1550" max="1550" width="19" style="125" customWidth="1"/>
    <col min="1551" max="1797" width="9" style="125"/>
    <col min="1798" max="1798" width="25.85546875" style="125" customWidth="1"/>
    <col min="1799" max="1800" width="11" style="125" customWidth="1"/>
    <col min="1801" max="1801" width="22.85546875" style="125" customWidth="1"/>
    <col min="1802" max="1803" width="11" style="125" customWidth="1"/>
    <col min="1804" max="1805" width="9.140625" style="125" customWidth="1"/>
    <col min="1806" max="1806" width="19" style="125" customWidth="1"/>
    <col min="1807" max="2053" width="9" style="125"/>
    <col min="2054" max="2054" width="25.85546875" style="125" customWidth="1"/>
    <col min="2055" max="2056" width="11" style="125" customWidth="1"/>
    <col min="2057" max="2057" width="22.85546875" style="125" customWidth="1"/>
    <col min="2058" max="2059" width="11" style="125" customWidth="1"/>
    <col min="2060" max="2061" width="9.140625" style="125" customWidth="1"/>
    <col min="2062" max="2062" width="19" style="125" customWidth="1"/>
    <col min="2063" max="2309" width="9" style="125"/>
    <col min="2310" max="2310" width="25.85546875" style="125" customWidth="1"/>
    <col min="2311" max="2312" width="11" style="125" customWidth="1"/>
    <col min="2313" max="2313" width="22.85546875" style="125" customWidth="1"/>
    <col min="2314" max="2315" width="11" style="125" customWidth="1"/>
    <col min="2316" max="2317" width="9.140625" style="125" customWidth="1"/>
    <col min="2318" max="2318" width="19" style="125" customWidth="1"/>
    <col min="2319" max="2565" width="9" style="125"/>
    <col min="2566" max="2566" width="25.85546875" style="125" customWidth="1"/>
    <col min="2567" max="2568" width="11" style="125" customWidth="1"/>
    <col min="2569" max="2569" width="22.85546875" style="125" customWidth="1"/>
    <col min="2570" max="2571" width="11" style="125" customWidth="1"/>
    <col min="2572" max="2573" width="9.140625" style="125" customWidth="1"/>
    <col min="2574" max="2574" width="19" style="125" customWidth="1"/>
    <col min="2575" max="2821" width="9" style="125"/>
    <col min="2822" max="2822" width="25.85546875" style="125" customWidth="1"/>
    <col min="2823" max="2824" width="11" style="125" customWidth="1"/>
    <col min="2825" max="2825" width="22.85546875" style="125" customWidth="1"/>
    <col min="2826" max="2827" width="11" style="125" customWidth="1"/>
    <col min="2828" max="2829" width="9.140625" style="125" customWidth="1"/>
    <col min="2830" max="2830" width="19" style="125" customWidth="1"/>
    <col min="2831" max="3077" width="9" style="125"/>
    <col min="3078" max="3078" width="25.85546875" style="125" customWidth="1"/>
    <col min="3079" max="3080" width="11" style="125" customWidth="1"/>
    <col min="3081" max="3081" width="22.85546875" style="125" customWidth="1"/>
    <col min="3082" max="3083" width="11" style="125" customWidth="1"/>
    <col min="3084" max="3085" width="9.140625" style="125" customWidth="1"/>
    <col min="3086" max="3086" width="19" style="125" customWidth="1"/>
    <col min="3087" max="3333" width="9" style="125"/>
    <col min="3334" max="3334" width="25.85546875" style="125" customWidth="1"/>
    <col min="3335" max="3336" width="11" style="125" customWidth="1"/>
    <col min="3337" max="3337" width="22.85546875" style="125" customWidth="1"/>
    <col min="3338" max="3339" width="11" style="125" customWidth="1"/>
    <col min="3340" max="3341" width="9.140625" style="125" customWidth="1"/>
    <col min="3342" max="3342" width="19" style="125" customWidth="1"/>
    <col min="3343" max="3589" width="9" style="125"/>
    <col min="3590" max="3590" width="25.85546875" style="125" customWidth="1"/>
    <col min="3591" max="3592" width="11" style="125" customWidth="1"/>
    <col min="3593" max="3593" width="22.85546875" style="125" customWidth="1"/>
    <col min="3594" max="3595" width="11" style="125" customWidth="1"/>
    <col min="3596" max="3597" width="9.140625" style="125" customWidth="1"/>
    <col min="3598" max="3598" width="19" style="125" customWidth="1"/>
    <col min="3599" max="3845" width="9" style="125"/>
    <col min="3846" max="3846" width="25.85546875" style="125" customWidth="1"/>
    <col min="3847" max="3848" width="11" style="125" customWidth="1"/>
    <col min="3849" max="3849" width="22.85546875" style="125" customWidth="1"/>
    <col min="3850" max="3851" width="11" style="125" customWidth="1"/>
    <col min="3852" max="3853" width="9.140625" style="125" customWidth="1"/>
    <col min="3854" max="3854" width="19" style="125" customWidth="1"/>
    <col min="3855" max="4101" width="9" style="125"/>
    <col min="4102" max="4102" width="25.85546875" style="125" customWidth="1"/>
    <col min="4103" max="4104" width="11" style="125" customWidth="1"/>
    <col min="4105" max="4105" width="22.85546875" style="125" customWidth="1"/>
    <col min="4106" max="4107" width="11" style="125" customWidth="1"/>
    <col min="4108" max="4109" width="9.140625" style="125" customWidth="1"/>
    <col min="4110" max="4110" width="19" style="125" customWidth="1"/>
    <col min="4111" max="4357" width="9" style="125"/>
    <col min="4358" max="4358" width="25.85546875" style="125" customWidth="1"/>
    <col min="4359" max="4360" width="11" style="125" customWidth="1"/>
    <col min="4361" max="4361" width="22.85546875" style="125" customWidth="1"/>
    <col min="4362" max="4363" width="11" style="125" customWidth="1"/>
    <col min="4364" max="4365" width="9.140625" style="125" customWidth="1"/>
    <col min="4366" max="4366" width="19" style="125" customWidth="1"/>
    <col min="4367" max="4613" width="9" style="125"/>
    <col min="4614" max="4614" width="25.85546875" style="125" customWidth="1"/>
    <col min="4615" max="4616" width="11" style="125" customWidth="1"/>
    <col min="4617" max="4617" width="22.85546875" style="125" customWidth="1"/>
    <col min="4618" max="4619" width="11" style="125" customWidth="1"/>
    <col min="4620" max="4621" width="9.140625" style="125" customWidth="1"/>
    <col min="4622" max="4622" width="19" style="125" customWidth="1"/>
    <col min="4623" max="4869" width="9" style="125"/>
    <col min="4870" max="4870" width="25.85546875" style="125" customWidth="1"/>
    <col min="4871" max="4872" width="11" style="125" customWidth="1"/>
    <col min="4873" max="4873" width="22.85546875" style="125" customWidth="1"/>
    <col min="4874" max="4875" width="11" style="125" customWidth="1"/>
    <col min="4876" max="4877" width="9.140625" style="125" customWidth="1"/>
    <col min="4878" max="4878" width="19" style="125" customWidth="1"/>
    <col min="4879" max="5125" width="9" style="125"/>
    <col min="5126" max="5126" width="25.85546875" style="125" customWidth="1"/>
    <col min="5127" max="5128" width="11" style="125" customWidth="1"/>
    <col min="5129" max="5129" width="22.85546875" style="125" customWidth="1"/>
    <col min="5130" max="5131" width="11" style="125" customWidth="1"/>
    <col min="5132" max="5133" width="9.140625" style="125" customWidth="1"/>
    <col min="5134" max="5134" width="19" style="125" customWidth="1"/>
    <col min="5135" max="5381" width="9" style="125"/>
    <col min="5382" max="5382" width="25.85546875" style="125" customWidth="1"/>
    <col min="5383" max="5384" width="11" style="125" customWidth="1"/>
    <col min="5385" max="5385" width="22.85546875" style="125" customWidth="1"/>
    <col min="5386" max="5387" width="11" style="125" customWidth="1"/>
    <col min="5388" max="5389" width="9.140625" style="125" customWidth="1"/>
    <col min="5390" max="5390" width="19" style="125" customWidth="1"/>
    <col min="5391" max="5637" width="9" style="125"/>
    <col min="5638" max="5638" width="25.85546875" style="125" customWidth="1"/>
    <col min="5639" max="5640" width="11" style="125" customWidth="1"/>
    <col min="5641" max="5641" width="22.85546875" style="125" customWidth="1"/>
    <col min="5642" max="5643" width="11" style="125" customWidth="1"/>
    <col min="5644" max="5645" width="9.140625" style="125" customWidth="1"/>
    <col min="5646" max="5646" width="19" style="125" customWidth="1"/>
    <col min="5647" max="5893" width="9" style="125"/>
    <col min="5894" max="5894" width="25.85546875" style="125" customWidth="1"/>
    <col min="5895" max="5896" width="11" style="125" customWidth="1"/>
    <col min="5897" max="5897" width="22.85546875" style="125" customWidth="1"/>
    <col min="5898" max="5899" width="11" style="125" customWidth="1"/>
    <col min="5900" max="5901" width="9.140625" style="125" customWidth="1"/>
    <col min="5902" max="5902" width="19" style="125" customWidth="1"/>
    <col min="5903" max="6149" width="9" style="125"/>
    <col min="6150" max="6150" width="25.85546875" style="125" customWidth="1"/>
    <col min="6151" max="6152" width="11" style="125" customWidth="1"/>
    <col min="6153" max="6153" width="22.85546875" style="125" customWidth="1"/>
    <col min="6154" max="6155" width="11" style="125" customWidth="1"/>
    <col min="6156" max="6157" width="9.140625" style="125" customWidth="1"/>
    <col min="6158" max="6158" width="19" style="125" customWidth="1"/>
    <col min="6159" max="6405" width="9" style="125"/>
    <col min="6406" max="6406" width="25.85546875" style="125" customWidth="1"/>
    <col min="6407" max="6408" width="11" style="125" customWidth="1"/>
    <col min="6409" max="6409" width="22.85546875" style="125" customWidth="1"/>
    <col min="6410" max="6411" width="11" style="125" customWidth="1"/>
    <col min="6412" max="6413" width="9.140625" style="125" customWidth="1"/>
    <col min="6414" max="6414" width="19" style="125" customWidth="1"/>
    <col min="6415" max="6661" width="9" style="125"/>
    <col min="6662" max="6662" width="25.85546875" style="125" customWidth="1"/>
    <col min="6663" max="6664" width="11" style="125" customWidth="1"/>
    <col min="6665" max="6665" width="22.85546875" style="125" customWidth="1"/>
    <col min="6666" max="6667" width="11" style="125" customWidth="1"/>
    <col min="6668" max="6669" width="9.140625" style="125" customWidth="1"/>
    <col min="6670" max="6670" width="19" style="125" customWidth="1"/>
    <col min="6671" max="6917" width="9" style="125"/>
    <col min="6918" max="6918" width="25.85546875" style="125" customWidth="1"/>
    <col min="6919" max="6920" width="11" style="125" customWidth="1"/>
    <col min="6921" max="6921" width="22.85546875" style="125" customWidth="1"/>
    <col min="6922" max="6923" width="11" style="125" customWidth="1"/>
    <col min="6924" max="6925" width="9.140625" style="125" customWidth="1"/>
    <col min="6926" max="6926" width="19" style="125" customWidth="1"/>
    <col min="6927" max="7173" width="9" style="125"/>
    <col min="7174" max="7174" width="25.85546875" style="125" customWidth="1"/>
    <col min="7175" max="7176" width="11" style="125" customWidth="1"/>
    <col min="7177" max="7177" width="22.85546875" style="125" customWidth="1"/>
    <col min="7178" max="7179" width="11" style="125" customWidth="1"/>
    <col min="7180" max="7181" width="9.140625" style="125" customWidth="1"/>
    <col min="7182" max="7182" width="19" style="125" customWidth="1"/>
    <col min="7183" max="7429" width="9" style="125"/>
    <col min="7430" max="7430" width="25.85546875" style="125" customWidth="1"/>
    <col min="7431" max="7432" width="11" style="125" customWidth="1"/>
    <col min="7433" max="7433" width="22.85546875" style="125" customWidth="1"/>
    <col min="7434" max="7435" width="11" style="125" customWidth="1"/>
    <col min="7436" max="7437" width="9.140625" style="125" customWidth="1"/>
    <col min="7438" max="7438" width="19" style="125" customWidth="1"/>
    <col min="7439" max="7685" width="9" style="125"/>
    <col min="7686" max="7686" width="25.85546875" style="125" customWidth="1"/>
    <col min="7687" max="7688" width="11" style="125" customWidth="1"/>
    <col min="7689" max="7689" width="22.85546875" style="125" customWidth="1"/>
    <col min="7690" max="7691" width="11" style="125" customWidth="1"/>
    <col min="7692" max="7693" width="9.140625" style="125" customWidth="1"/>
    <col min="7694" max="7694" width="19" style="125" customWidth="1"/>
    <col min="7695" max="7941" width="9" style="125"/>
    <col min="7942" max="7942" width="25.85546875" style="125" customWidth="1"/>
    <col min="7943" max="7944" width="11" style="125" customWidth="1"/>
    <col min="7945" max="7945" width="22.85546875" style="125" customWidth="1"/>
    <col min="7946" max="7947" width="11" style="125" customWidth="1"/>
    <col min="7948" max="7949" width="9.140625" style="125" customWidth="1"/>
    <col min="7950" max="7950" width="19" style="125" customWidth="1"/>
    <col min="7951" max="8197" width="9" style="125"/>
    <col min="8198" max="8198" width="25.85546875" style="125" customWidth="1"/>
    <col min="8199" max="8200" width="11" style="125" customWidth="1"/>
    <col min="8201" max="8201" width="22.85546875" style="125" customWidth="1"/>
    <col min="8202" max="8203" width="11" style="125" customWidth="1"/>
    <col min="8204" max="8205" width="9.140625" style="125" customWidth="1"/>
    <col min="8206" max="8206" width="19" style="125" customWidth="1"/>
    <col min="8207" max="8453" width="9" style="125"/>
    <col min="8454" max="8454" width="25.85546875" style="125" customWidth="1"/>
    <col min="8455" max="8456" width="11" style="125" customWidth="1"/>
    <col min="8457" max="8457" width="22.85546875" style="125" customWidth="1"/>
    <col min="8458" max="8459" width="11" style="125" customWidth="1"/>
    <col min="8460" max="8461" width="9.140625" style="125" customWidth="1"/>
    <col min="8462" max="8462" width="19" style="125" customWidth="1"/>
    <col min="8463" max="8709" width="9" style="125"/>
    <col min="8710" max="8710" width="25.85546875" style="125" customWidth="1"/>
    <col min="8711" max="8712" width="11" style="125" customWidth="1"/>
    <col min="8713" max="8713" width="22.85546875" style="125" customWidth="1"/>
    <col min="8714" max="8715" width="11" style="125" customWidth="1"/>
    <col min="8716" max="8717" width="9.140625" style="125" customWidth="1"/>
    <col min="8718" max="8718" width="19" style="125" customWidth="1"/>
    <col min="8719" max="8965" width="9" style="125"/>
    <col min="8966" max="8966" width="25.85546875" style="125" customWidth="1"/>
    <col min="8967" max="8968" width="11" style="125" customWidth="1"/>
    <col min="8969" max="8969" width="22.85546875" style="125" customWidth="1"/>
    <col min="8970" max="8971" width="11" style="125" customWidth="1"/>
    <col min="8972" max="8973" width="9.140625" style="125" customWidth="1"/>
    <col min="8974" max="8974" width="19" style="125" customWidth="1"/>
    <col min="8975" max="9221" width="9" style="125"/>
    <col min="9222" max="9222" width="25.85546875" style="125" customWidth="1"/>
    <col min="9223" max="9224" width="11" style="125" customWidth="1"/>
    <col min="9225" max="9225" width="22.85546875" style="125" customWidth="1"/>
    <col min="9226" max="9227" width="11" style="125" customWidth="1"/>
    <col min="9228" max="9229" width="9.140625" style="125" customWidth="1"/>
    <col min="9230" max="9230" width="19" style="125" customWidth="1"/>
    <col min="9231" max="9477" width="9" style="125"/>
    <col min="9478" max="9478" width="25.85546875" style="125" customWidth="1"/>
    <col min="9479" max="9480" width="11" style="125" customWidth="1"/>
    <col min="9481" max="9481" width="22.85546875" style="125" customWidth="1"/>
    <col min="9482" max="9483" width="11" style="125" customWidth="1"/>
    <col min="9484" max="9485" width="9.140625" style="125" customWidth="1"/>
    <col min="9486" max="9486" width="19" style="125" customWidth="1"/>
    <col min="9487" max="9733" width="9" style="125"/>
    <col min="9734" max="9734" width="25.85546875" style="125" customWidth="1"/>
    <col min="9735" max="9736" width="11" style="125" customWidth="1"/>
    <col min="9737" max="9737" width="22.85546875" style="125" customWidth="1"/>
    <col min="9738" max="9739" width="11" style="125" customWidth="1"/>
    <col min="9740" max="9741" width="9.140625" style="125" customWidth="1"/>
    <col min="9742" max="9742" width="19" style="125" customWidth="1"/>
    <col min="9743" max="9989" width="9" style="125"/>
    <col min="9990" max="9990" width="25.85546875" style="125" customWidth="1"/>
    <col min="9991" max="9992" width="11" style="125" customWidth="1"/>
    <col min="9993" max="9993" width="22.85546875" style="125" customWidth="1"/>
    <col min="9994" max="9995" width="11" style="125" customWidth="1"/>
    <col min="9996" max="9997" width="9.140625" style="125" customWidth="1"/>
    <col min="9998" max="9998" width="19" style="125" customWidth="1"/>
    <col min="9999" max="10245" width="9" style="125"/>
    <col min="10246" max="10246" width="25.85546875" style="125" customWidth="1"/>
    <col min="10247" max="10248" width="11" style="125" customWidth="1"/>
    <col min="10249" max="10249" width="22.85546875" style="125" customWidth="1"/>
    <col min="10250" max="10251" width="11" style="125" customWidth="1"/>
    <col min="10252" max="10253" width="9.140625" style="125" customWidth="1"/>
    <col min="10254" max="10254" width="19" style="125" customWidth="1"/>
    <col min="10255" max="10501" width="9" style="125"/>
    <col min="10502" max="10502" width="25.85546875" style="125" customWidth="1"/>
    <col min="10503" max="10504" width="11" style="125" customWidth="1"/>
    <col min="10505" max="10505" width="22.85546875" style="125" customWidth="1"/>
    <col min="10506" max="10507" width="11" style="125" customWidth="1"/>
    <col min="10508" max="10509" width="9.140625" style="125" customWidth="1"/>
    <col min="10510" max="10510" width="19" style="125" customWidth="1"/>
    <col min="10511" max="10757" width="9" style="125"/>
    <col min="10758" max="10758" width="25.85546875" style="125" customWidth="1"/>
    <col min="10759" max="10760" width="11" style="125" customWidth="1"/>
    <col min="10761" max="10761" width="22.85546875" style="125" customWidth="1"/>
    <col min="10762" max="10763" width="11" style="125" customWidth="1"/>
    <col min="10764" max="10765" width="9.140625" style="125" customWidth="1"/>
    <col min="10766" max="10766" width="19" style="125" customWidth="1"/>
    <col min="10767" max="11013" width="9" style="125"/>
    <col min="11014" max="11014" width="25.85546875" style="125" customWidth="1"/>
    <col min="11015" max="11016" width="11" style="125" customWidth="1"/>
    <col min="11017" max="11017" width="22.85546875" style="125" customWidth="1"/>
    <col min="11018" max="11019" width="11" style="125" customWidth="1"/>
    <col min="11020" max="11021" width="9.140625" style="125" customWidth="1"/>
    <col min="11022" max="11022" width="19" style="125" customWidth="1"/>
    <col min="11023" max="11269" width="9" style="125"/>
    <col min="11270" max="11270" width="25.85546875" style="125" customWidth="1"/>
    <col min="11271" max="11272" width="11" style="125" customWidth="1"/>
    <col min="11273" max="11273" width="22.85546875" style="125" customWidth="1"/>
    <col min="11274" max="11275" width="11" style="125" customWidth="1"/>
    <col min="11276" max="11277" width="9.140625" style="125" customWidth="1"/>
    <col min="11278" max="11278" width="19" style="125" customWidth="1"/>
    <col min="11279" max="11525" width="9" style="125"/>
    <col min="11526" max="11526" width="25.85546875" style="125" customWidth="1"/>
    <col min="11527" max="11528" width="11" style="125" customWidth="1"/>
    <col min="11529" max="11529" width="22.85546875" style="125" customWidth="1"/>
    <col min="11530" max="11531" width="11" style="125" customWidth="1"/>
    <col min="11532" max="11533" width="9.140625" style="125" customWidth="1"/>
    <col min="11534" max="11534" width="19" style="125" customWidth="1"/>
    <col min="11535" max="11781" width="9" style="125"/>
    <col min="11782" max="11782" width="25.85546875" style="125" customWidth="1"/>
    <col min="11783" max="11784" width="11" style="125" customWidth="1"/>
    <col min="11785" max="11785" width="22.85546875" style="125" customWidth="1"/>
    <col min="11786" max="11787" width="11" style="125" customWidth="1"/>
    <col min="11788" max="11789" width="9.140625" style="125" customWidth="1"/>
    <col min="11790" max="11790" width="19" style="125" customWidth="1"/>
    <col min="11791" max="12037" width="9" style="125"/>
    <col min="12038" max="12038" width="25.85546875" style="125" customWidth="1"/>
    <col min="12039" max="12040" width="11" style="125" customWidth="1"/>
    <col min="12041" max="12041" width="22.85546875" style="125" customWidth="1"/>
    <col min="12042" max="12043" width="11" style="125" customWidth="1"/>
    <col min="12044" max="12045" width="9.140625" style="125" customWidth="1"/>
    <col min="12046" max="12046" width="19" style="125" customWidth="1"/>
    <col min="12047" max="12293" width="9" style="125"/>
    <col min="12294" max="12294" width="25.85546875" style="125" customWidth="1"/>
    <col min="12295" max="12296" width="11" style="125" customWidth="1"/>
    <col min="12297" max="12297" width="22.85546875" style="125" customWidth="1"/>
    <col min="12298" max="12299" width="11" style="125" customWidth="1"/>
    <col min="12300" max="12301" width="9.140625" style="125" customWidth="1"/>
    <col min="12302" max="12302" width="19" style="125" customWidth="1"/>
    <col min="12303" max="12549" width="9" style="125"/>
    <col min="12550" max="12550" width="25.85546875" style="125" customWidth="1"/>
    <col min="12551" max="12552" width="11" style="125" customWidth="1"/>
    <col min="12553" max="12553" width="22.85546875" style="125" customWidth="1"/>
    <col min="12554" max="12555" width="11" style="125" customWidth="1"/>
    <col min="12556" max="12557" width="9.140625" style="125" customWidth="1"/>
    <col min="12558" max="12558" width="19" style="125" customWidth="1"/>
    <col min="12559" max="12805" width="9" style="125"/>
    <col min="12806" max="12806" width="25.85546875" style="125" customWidth="1"/>
    <col min="12807" max="12808" width="11" style="125" customWidth="1"/>
    <col min="12809" max="12809" width="22.85546875" style="125" customWidth="1"/>
    <col min="12810" max="12811" width="11" style="125" customWidth="1"/>
    <col min="12812" max="12813" width="9.140625" style="125" customWidth="1"/>
    <col min="12814" max="12814" width="19" style="125" customWidth="1"/>
    <col min="12815" max="13061" width="9" style="125"/>
    <col min="13062" max="13062" width="25.85546875" style="125" customWidth="1"/>
    <col min="13063" max="13064" width="11" style="125" customWidth="1"/>
    <col min="13065" max="13065" width="22.85546875" style="125" customWidth="1"/>
    <col min="13066" max="13067" width="11" style="125" customWidth="1"/>
    <col min="13068" max="13069" width="9.140625" style="125" customWidth="1"/>
    <col min="13070" max="13070" width="19" style="125" customWidth="1"/>
    <col min="13071" max="13317" width="9" style="125"/>
    <col min="13318" max="13318" width="25.85546875" style="125" customWidth="1"/>
    <col min="13319" max="13320" width="11" style="125" customWidth="1"/>
    <col min="13321" max="13321" width="22.85546875" style="125" customWidth="1"/>
    <col min="13322" max="13323" width="11" style="125" customWidth="1"/>
    <col min="13324" max="13325" width="9.140625" style="125" customWidth="1"/>
    <col min="13326" max="13326" width="19" style="125" customWidth="1"/>
    <col min="13327" max="13573" width="9" style="125"/>
    <col min="13574" max="13574" width="25.85546875" style="125" customWidth="1"/>
    <col min="13575" max="13576" width="11" style="125" customWidth="1"/>
    <col min="13577" max="13577" width="22.85546875" style="125" customWidth="1"/>
    <col min="13578" max="13579" width="11" style="125" customWidth="1"/>
    <col min="13580" max="13581" width="9.140625" style="125" customWidth="1"/>
    <col min="13582" max="13582" width="19" style="125" customWidth="1"/>
    <col min="13583" max="13829" width="9" style="125"/>
    <col min="13830" max="13830" width="25.85546875" style="125" customWidth="1"/>
    <col min="13831" max="13832" width="11" style="125" customWidth="1"/>
    <col min="13833" max="13833" width="22.85546875" style="125" customWidth="1"/>
    <col min="13834" max="13835" width="11" style="125" customWidth="1"/>
    <col min="13836" max="13837" width="9.140625" style="125" customWidth="1"/>
    <col min="13838" max="13838" width="19" style="125" customWidth="1"/>
    <col min="13839" max="14085" width="9" style="125"/>
    <col min="14086" max="14086" width="25.85546875" style="125" customWidth="1"/>
    <col min="14087" max="14088" width="11" style="125" customWidth="1"/>
    <col min="14089" max="14089" width="22.85546875" style="125" customWidth="1"/>
    <col min="14090" max="14091" width="11" style="125" customWidth="1"/>
    <col min="14092" max="14093" width="9.140625" style="125" customWidth="1"/>
    <col min="14094" max="14094" width="19" style="125" customWidth="1"/>
    <col min="14095" max="14341" width="9" style="125"/>
    <col min="14342" max="14342" width="25.85546875" style="125" customWidth="1"/>
    <col min="14343" max="14344" width="11" style="125" customWidth="1"/>
    <col min="14345" max="14345" width="22.85546875" style="125" customWidth="1"/>
    <col min="14346" max="14347" width="11" style="125" customWidth="1"/>
    <col min="14348" max="14349" width="9.140625" style="125" customWidth="1"/>
    <col min="14350" max="14350" width="19" style="125" customWidth="1"/>
    <col min="14351" max="14597" width="9" style="125"/>
    <col min="14598" max="14598" width="25.85546875" style="125" customWidth="1"/>
    <col min="14599" max="14600" width="11" style="125" customWidth="1"/>
    <col min="14601" max="14601" width="22.85546875" style="125" customWidth="1"/>
    <col min="14602" max="14603" width="11" style="125" customWidth="1"/>
    <col min="14604" max="14605" width="9.140625" style="125" customWidth="1"/>
    <col min="14606" max="14606" width="19" style="125" customWidth="1"/>
    <col min="14607" max="14853" width="9" style="125"/>
    <col min="14854" max="14854" width="25.85546875" style="125" customWidth="1"/>
    <col min="14855" max="14856" width="11" style="125" customWidth="1"/>
    <col min="14857" max="14857" width="22.85546875" style="125" customWidth="1"/>
    <col min="14858" max="14859" width="11" style="125" customWidth="1"/>
    <col min="14860" max="14861" width="9.140625" style="125" customWidth="1"/>
    <col min="14862" max="14862" width="19" style="125" customWidth="1"/>
    <col min="14863" max="15109" width="9" style="125"/>
    <col min="15110" max="15110" width="25.85546875" style="125" customWidth="1"/>
    <col min="15111" max="15112" width="11" style="125" customWidth="1"/>
    <col min="15113" max="15113" width="22.85546875" style="125" customWidth="1"/>
    <col min="15114" max="15115" width="11" style="125" customWidth="1"/>
    <col min="15116" max="15117" width="9.140625" style="125" customWidth="1"/>
    <col min="15118" max="15118" width="19" style="125" customWidth="1"/>
    <col min="15119" max="15365" width="9" style="125"/>
    <col min="15366" max="15366" width="25.85546875" style="125" customWidth="1"/>
    <col min="15367" max="15368" width="11" style="125" customWidth="1"/>
    <col min="15369" max="15369" width="22.85546875" style="125" customWidth="1"/>
    <col min="15370" max="15371" width="11" style="125" customWidth="1"/>
    <col min="15372" max="15373" width="9.140625" style="125" customWidth="1"/>
    <col min="15374" max="15374" width="19" style="125" customWidth="1"/>
    <col min="15375" max="15621" width="9" style="125"/>
    <col min="15622" max="15622" width="25.85546875" style="125" customWidth="1"/>
    <col min="15623" max="15624" width="11" style="125" customWidth="1"/>
    <col min="15625" max="15625" width="22.85546875" style="125" customWidth="1"/>
    <col min="15626" max="15627" width="11" style="125" customWidth="1"/>
    <col min="15628" max="15629" width="9.140625" style="125" customWidth="1"/>
    <col min="15630" max="15630" width="19" style="125" customWidth="1"/>
    <col min="15631" max="15877" width="9" style="125"/>
    <col min="15878" max="15878" width="25.85546875" style="125" customWidth="1"/>
    <col min="15879" max="15880" width="11" style="125" customWidth="1"/>
    <col min="15881" max="15881" width="22.85546875" style="125" customWidth="1"/>
    <col min="15882" max="15883" width="11" style="125" customWidth="1"/>
    <col min="15884" max="15885" width="9.140625" style="125" customWidth="1"/>
    <col min="15886" max="15886" width="19" style="125" customWidth="1"/>
    <col min="15887" max="16133" width="9" style="125"/>
    <col min="16134" max="16134" width="25.85546875" style="125" customWidth="1"/>
    <col min="16135" max="16136" width="11" style="125" customWidth="1"/>
    <col min="16137" max="16137" width="22.85546875" style="125" customWidth="1"/>
    <col min="16138" max="16139" width="11" style="125" customWidth="1"/>
    <col min="16140" max="16141" width="9.140625" style="125" customWidth="1"/>
    <col min="16142" max="16142" width="19" style="125" customWidth="1"/>
    <col min="16143" max="16384" width="9" style="125"/>
  </cols>
  <sheetData>
    <row r="1" spans="1:14" s="126" customFormat="1" x14ac:dyDescent="0.2">
      <c r="M1" s="255" t="s">
        <v>42</v>
      </c>
      <c r="N1" s="254"/>
    </row>
    <row r="2" spans="1:14" s="123" customFormat="1" ht="18" customHeight="1" x14ac:dyDescent="0.2">
      <c r="A2" s="188" t="s">
        <v>42</v>
      </c>
      <c r="B2" s="186" t="s">
        <v>213</v>
      </c>
      <c r="C2" s="364"/>
      <c r="D2" s="364"/>
      <c r="E2" s="364"/>
      <c r="F2" s="187"/>
      <c r="G2" s="187"/>
      <c r="H2" s="188"/>
      <c r="I2" s="188"/>
      <c r="J2" s="188"/>
      <c r="K2" s="188"/>
      <c r="L2" s="188"/>
      <c r="M2" s="188"/>
      <c r="N2" s="256" t="s">
        <v>76</v>
      </c>
    </row>
    <row r="3" spans="1:14" s="123" customFormat="1" x14ac:dyDescent="0.2">
      <c r="A3" s="257"/>
      <c r="C3" s="126"/>
      <c r="D3" s="126"/>
      <c r="E3" s="126"/>
      <c r="F3" s="124"/>
      <c r="G3" s="124"/>
      <c r="N3" s="179"/>
    </row>
    <row r="4" spans="1:14" s="123" customFormat="1" x14ac:dyDescent="0.2">
      <c r="A4" s="182" t="s">
        <v>21</v>
      </c>
      <c r="B4" s="182" t="s">
        <v>0</v>
      </c>
      <c r="C4" s="367"/>
      <c r="D4" s="367"/>
      <c r="E4" s="367"/>
      <c r="F4" s="182"/>
      <c r="G4" s="182" t="s">
        <v>83</v>
      </c>
      <c r="H4" s="182" t="s">
        <v>140</v>
      </c>
      <c r="I4" s="182"/>
      <c r="J4" s="184" t="s">
        <v>45</v>
      </c>
      <c r="K4" s="181"/>
      <c r="L4" s="181"/>
      <c r="M4" s="181"/>
      <c r="N4" s="183"/>
    </row>
    <row r="5" spans="1:14" x14ac:dyDescent="0.2">
      <c r="A5" s="200"/>
      <c r="B5" s="372"/>
      <c r="C5" s="373"/>
      <c r="D5" s="373"/>
      <c r="E5" s="373"/>
      <c r="F5" s="309"/>
      <c r="G5" s="353"/>
      <c r="N5" s="350"/>
    </row>
    <row r="6" spans="1:14" ht="14.25" customHeight="1" x14ac:dyDescent="0.25">
      <c r="A6" s="187"/>
      <c r="B6" s="583" t="s">
        <v>847</v>
      </c>
      <c r="C6" s="584"/>
      <c r="D6" s="584"/>
      <c r="E6" s="585"/>
      <c r="F6" s="263"/>
      <c r="G6" s="187"/>
      <c r="H6" s="187"/>
      <c r="N6" s="350"/>
    </row>
    <row r="7" spans="1:14" ht="25.5" x14ac:dyDescent="0.2">
      <c r="A7" s="187"/>
      <c r="B7" s="263" t="s">
        <v>84</v>
      </c>
      <c r="C7" s="368" t="s">
        <v>833</v>
      </c>
      <c r="D7" s="368" t="s">
        <v>235</v>
      </c>
      <c r="E7" s="368" t="s">
        <v>840</v>
      </c>
      <c r="F7" s="263" t="s">
        <v>841</v>
      </c>
      <c r="G7" s="187"/>
      <c r="H7" s="187"/>
      <c r="N7" s="350"/>
    </row>
    <row r="8" spans="1:14" x14ac:dyDescent="0.2">
      <c r="A8" s="353" t="s">
        <v>594</v>
      </c>
      <c r="B8" s="372">
        <f>PM!B13</f>
        <v>1.805631830662917E-9</v>
      </c>
      <c r="C8" s="373">
        <f>PM!B17</f>
        <v>1.4445054645303336E-9</v>
      </c>
      <c r="D8" s="373">
        <f>PM!B15</f>
        <v>3.6112636613258341E-10</v>
      </c>
      <c r="E8" s="373">
        <v>0</v>
      </c>
      <c r="F8" s="309">
        <f>SUM(C8:E8)</f>
        <v>1.805631830662917E-9</v>
      </c>
      <c r="G8" s="353" t="s">
        <v>422</v>
      </c>
      <c r="H8" s="353" t="s">
        <v>614</v>
      </c>
      <c r="N8" s="350">
        <v>18</v>
      </c>
    </row>
    <row r="9" spans="1:14" x14ac:dyDescent="0.2">
      <c r="A9" s="200" t="s">
        <v>601</v>
      </c>
      <c r="B9" s="372">
        <f>PM!B26</f>
        <v>1.3738539328743254E-7</v>
      </c>
      <c r="C9" s="373">
        <v>0</v>
      </c>
      <c r="D9" s="373">
        <f>PM!B26</f>
        <v>1.3738539328743254E-7</v>
      </c>
      <c r="E9" s="373">
        <v>0</v>
      </c>
      <c r="F9" s="309">
        <f t="shared" ref="F9:F18" si="0">SUM(C9:E9)</f>
        <v>1.3738539328743254E-7</v>
      </c>
      <c r="G9" s="353" t="s">
        <v>422</v>
      </c>
      <c r="H9" s="125" t="s">
        <v>844</v>
      </c>
      <c r="N9" s="350">
        <v>18</v>
      </c>
    </row>
    <row r="10" spans="1:14" x14ac:dyDescent="0.2">
      <c r="A10" s="200" t="s">
        <v>607</v>
      </c>
      <c r="B10" s="372">
        <f>PM!B55</f>
        <v>4.0126189650682222E-8</v>
      </c>
      <c r="C10" s="373">
        <f>PM!B44</f>
        <v>6.704970541075134E-9</v>
      </c>
      <c r="D10" s="373">
        <f>PM!B35</f>
        <v>1.6710609554803544E-8</v>
      </c>
      <c r="E10" s="373">
        <f>PM!B47</f>
        <v>1.6710609554803544E-8</v>
      </c>
      <c r="F10" s="309">
        <f t="shared" si="0"/>
        <v>4.0126189650682222E-8</v>
      </c>
      <c r="G10" s="353" t="s">
        <v>422</v>
      </c>
      <c r="H10" s="125" t="s">
        <v>936</v>
      </c>
      <c r="N10" s="350">
        <v>18</v>
      </c>
    </row>
    <row r="11" spans="1:14" x14ac:dyDescent="0.2">
      <c r="A11" s="200" t="s">
        <v>617</v>
      </c>
      <c r="B11" s="372">
        <f>PM!B65</f>
        <v>6.1998440104938239E-7</v>
      </c>
      <c r="C11" s="373">
        <f>PM!B65</f>
        <v>6.1998440104938239E-7</v>
      </c>
      <c r="D11" s="373">
        <v>0</v>
      </c>
      <c r="E11" s="373">
        <v>0</v>
      </c>
      <c r="F11" s="309">
        <f t="shared" si="0"/>
        <v>6.1998440104938239E-7</v>
      </c>
      <c r="G11" s="353" t="s">
        <v>422</v>
      </c>
      <c r="H11" s="125" t="s">
        <v>845</v>
      </c>
      <c r="N11" s="350">
        <v>18</v>
      </c>
    </row>
    <row r="12" spans="1:14" x14ac:dyDescent="0.2">
      <c r="A12" s="200" t="s">
        <v>622</v>
      </c>
      <c r="B12" s="372">
        <f>PM!B82</f>
        <v>1.0965222544608344E-9</v>
      </c>
      <c r="C12" s="373">
        <f>PM!B82</f>
        <v>1.0965222544608344E-9</v>
      </c>
      <c r="D12" s="373">
        <v>0</v>
      </c>
      <c r="E12" s="373">
        <v>0</v>
      </c>
      <c r="F12" s="309">
        <f t="shared" si="0"/>
        <v>1.0965222544608344E-9</v>
      </c>
      <c r="G12" s="353" t="s">
        <v>422</v>
      </c>
      <c r="H12" s="125" t="s">
        <v>845</v>
      </c>
      <c r="N12" s="350">
        <v>18</v>
      </c>
    </row>
    <row r="13" spans="1:14" x14ac:dyDescent="0.2">
      <c r="A13" s="200" t="s">
        <v>638</v>
      </c>
      <c r="B13" s="372">
        <f>PM!B89</f>
        <v>2.9526264569984335E-6</v>
      </c>
      <c r="C13" s="373">
        <v>0</v>
      </c>
      <c r="D13" s="373">
        <f>PM!B89</f>
        <v>2.9526264569984335E-6</v>
      </c>
      <c r="E13" s="373">
        <v>0</v>
      </c>
      <c r="F13" s="309">
        <f t="shared" si="0"/>
        <v>2.9526264569984335E-6</v>
      </c>
      <c r="G13" s="353" t="s">
        <v>422</v>
      </c>
      <c r="H13" s="125" t="s">
        <v>846</v>
      </c>
      <c r="N13" s="350">
        <v>18</v>
      </c>
    </row>
    <row r="14" spans="1:14" x14ac:dyDescent="0.2">
      <c r="A14" s="200" t="s">
        <v>926</v>
      </c>
      <c r="B14" s="372">
        <f>PM!B116</f>
        <v>1.0612222222222221E-6</v>
      </c>
      <c r="C14" s="373">
        <f>B14</f>
        <v>1.0612222222222221E-6</v>
      </c>
      <c r="D14" s="373">
        <v>0</v>
      </c>
      <c r="E14" s="373">
        <v>0</v>
      </c>
      <c r="F14" s="309">
        <f t="shared" si="0"/>
        <v>1.0612222222222221E-6</v>
      </c>
      <c r="G14" s="353" t="s">
        <v>422</v>
      </c>
      <c r="H14" s="125" t="s">
        <v>833</v>
      </c>
      <c r="N14" s="350">
        <v>18</v>
      </c>
    </row>
    <row r="15" spans="1:14" x14ac:dyDescent="0.2">
      <c r="A15" s="200" t="s">
        <v>927</v>
      </c>
      <c r="B15" s="372">
        <f>PM!B117</f>
        <v>9.0933333333333322E-7</v>
      </c>
      <c r="C15" s="373">
        <v>0</v>
      </c>
      <c r="D15" s="373">
        <f>B15</f>
        <v>9.0933333333333322E-7</v>
      </c>
      <c r="E15" s="373">
        <v>0</v>
      </c>
      <c r="F15" s="309">
        <f t="shared" si="0"/>
        <v>9.0933333333333322E-7</v>
      </c>
      <c r="G15" s="353" t="s">
        <v>422</v>
      </c>
      <c r="H15" s="125" t="s">
        <v>235</v>
      </c>
      <c r="N15" s="350">
        <v>18</v>
      </c>
    </row>
    <row r="16" spans="1:14" x14ac:dyDescent="0.2">
      <c r="A16" s="200" t="s">
        <v>928</v>
      </c>
      <c r="B16" s="372">
        <f>PM!B118</f>
        <v>6.0499999999999992E-8</v>
      </c>
      <c r="C16" s="373">
        <f>B16-D16</f>
        <v>-2.4199999999999997E-7</v>
      </c>
      <c r="D16" s="373">
        <f>B16*'Strip Ratio'!B8</f>
        <v>3.0249999999999996E-7</v>
      </c>
      <c r="E16" s="373">
        <v>0</v>
      </c>
      <c r="F16" s="309">
        <f t="shared" si="0"/>
        <v>6.0499999999999992E-8</v>
      </c>
      <c r="G16" s="353" t="s">
        <v>422</v>
      </c>
      <c r="H16" s="125" t="s">
        <v>832</v>
      </c>
      <c r="N16" s="350">
        <v>18</v>
      </c>
    </row>
    <row r="17" spans="1:14" x14ac:dyDescent="0.2">
      <c r="A17" s="200" t="s">
        <v>929</v>
      </c>
      <c r="B17" s="372">
        <f>PM!B119</f>
        <v>8.6666666666666665E-9</v>
      </c>
      <c r="C17" s="373">
        <f>(B17-D17)/2</f>
        <v>3.6111111111111109E-9</v>
      </c>
      <c r="D17" s="373">
        <f>B17/('Strip Ratio'!$B$8+1)</f>
        <v>1.4444444444444445E-9</v>
      </c>
      <c r="E17" s="373">
        <f>B17-C17-D17</f>
        <v>3.6111111111111109E-9</v>
      </c>
      <c r="F17" s="309">
        <f t="shared" si="0"/>
        <v>8.6666666666666665E-9</v>
      </c>
      <c r="G17" s="353" t="s">
        <v>422</v>
      </c>
      <c r="H17" s="125" t="s">
        <v>837</v>
      </c>
      <c r="N17" s="350">
        <v>18</v>
      </c>
    </row>
    <row r="18" spans="1:14" x14ac:dyDescent="0.2">
      <c r="A18" s="290" t="s">
        <v>930</v>
      </c>
      <c r="B18" s="372">
        <f>PM!B121</f>
        <v>2.2791666666666663E-6</v>
      </c>
      <c r="C18" s="373">
        <f>(B18-D18)/2</f>
        <v>9.4965277777777763E-7</v>
      </c>
      <c r="D18" s="373">
        <f>B18/('Strip Ratio'!$B$8+1)</f>
        <v>3.7986111111111105E-7</v>
      </c>
      <c r="E18" s="373">
        <f>B18-C18-D18</f>
        <v>9.4965277777777773E-7</v>
      </c>
      <c r="F18" s="309">
        <f t="shared" si="0"/>
        <v>2.2791666666666667E-6</v>
      </c>
      <c r="G18" s="353" t="s">
        <v>422</v>
      </c>
      <c r="H18" s="125" t="s">
        <v>837</v>
      </c>
      <c r="N18" s="350">
        <v>18</v>
      </c>
    </row>
    <row r="19" spans="1:14" x14ac:dyDescent="0.2">
      <c r="A19" s="308" t="s">
        <v>891</v>
      </c>
      <c r="B19" s="374">
        <f>SUM(B8:B18)</f>
        <v>8.0719134839599421E-6</v>
      </c>
      <c r="C19" s="382">
        <f t="shared" ref="C19:F19" si="1">SUM(C8:C18)</f>
        <v>2.4017165104205597E-6</v>
      </c>
      <c r="D19" s="382">
        <f t="shared" si="1"/>
        <v>4.7002224750956908E-6</v>
      </c>
      <c r="E19" s="382">
        <f t="shared" si="1"/>
        <v>9.6997449844369244E-7</v>
      </c>
      <c r="F19" s="439">
        <f t="shared" si="1"/>
        <v>8.0719134839599438E-6</v>
      </c>
      <c r="G19" s="187" t="s">
        <v>422</v>
      </c>
      <c r="N19" s="350"/>
    </row>
    <row r="20" spans="1:14" x14ac:dyDescent="0.2">
      <c r="A20" s="200"/>
      <c r="B20" s="372"/>
      <c r="C20" s="373"/>
      <c r="D20" s="373"/>
      <c r="E20" s="373"/>
      <c r="F20" s="309"/>
      <c r="G20" s="353"/>
      <c r="N20" s="350"/>
    </row>
    <row r="22" spans="1:14" ht="15" x14ac:dyDescent="0.25">
      <c r="B22" s="583" t="s">
        <v>934</v>
      </c>
      <c r="C22" s="584"/>
      <c r="D22" s="584"/>
      <c r="E22" s="585"/>
    </row>
    <row r="23" spans="1:14" ht="25.5" x14ac:dyDescent="0.2">
      <c r="B23" s="436" t="s">
        <v>84</v>
      </c>
      <c r="C23" s="368" t="s">
        <v>833</v>
      </c>
      <c r="D23" s="368" t="s">
        <v>235</v>
      </c>
      <c r="E23" s="368" t="s">
        <v>840</v>
      </c>
      <c r="F23" s="436" t="s">
        <v>841</v>
      </c>
      <c r="G23" s="353"/>
      <c r="I23" s="258"/>
    </row>
    <row r="24" spans="1:14" x14ac:dyDescent="0.2">
      <c r="A24" s="125" t="s">
        <v>594</v>
      </c>
      <c r="B24" s="440">
        <f>PM!B12-B8</f>
        <v>2.9491986567494313E-8</v>
      </c>
      <c r="C24" s="441">
        <f>PM!B16-PM!B17</f>
        <v>2.3593589253995453E-8</v>
      </c>
      <c r="D24" s="441">
        <f>PM!B14-PM!B15</f>
        <v>5.8983973134988632E-9</v>
      </c>
      <c r="E24" s="441">
        <v>0</v>
      </c>
      <c r="F24" s="440">
        <f t="shared" ref="F24:F29" si="2">SUM(C24:E24)</f>
        <v>2.9491986567494316E-8</v>
      </c>
      <c r="G24" s="353" t="s">
        <v>935</v>
      </c>
      <c r="H24" s="353" t="s">
        <v>614</v>
      </c>
      <c r="N24" s="350">
        <v>18</v>
      </c>
    </row>
    <row r="25" spans="1:14" x14ac:dyDescent="0.2">
      <c r="A25" s="125" t="s">
        <v>601</v>
      </c>
      <c r="B25" s="440">
        <f>PM!B22-B9</f>
        <v>5.2857222364796416E-6</v>
      </c>
      <c r="C25" s="441">
        <v>0</v>
      </c>
      <c r="D25" s="441">
        <f>PM!B22-PM!B26</f>
        <v>5.2857222364796416E-6</v>
      </c>
      <c r="E25" s="441">
        <v>0</v>
      </c>
      <c r="F25" s="440">
        <f t="shared" si="2"/>
        <v>5.2857222364796416E-6</v>
      </c>
      <c r="G25" s="353" t="s">
        <v>935</v>
      </c>
      <c r="H25" s="125" t="s">
        <v>844</v>
      </c>
      <c r="N25" s="350">
        <v>18</v>
      </c>
    </row>
    <row r="26" spans="1:14" x14ac:dyDescent="0.2">
      <c r="A26" s="125" t="s">
        <v>607</v>
      </c>
      <c r="B26" s="440">
        <f>PM!B52-B10</f>
        <v>1.1471261994442519E-6</v>
      </c>
      <c r="C26" s="441">
        <f>PM!B40-PM!B44</f>
        <v>4.1187676180890107E-8</v>
      </c>
      <c r="D26" s="441">
        <f>PM!B31-PM!B35</f>
        <v>5.5296926163168099E-7</v>
      </c>
      <c r="E26" s="441">
        <f>PM!B46-PM!B47</f>
        <v>5.5296926163168099E-7</v>
      </c>
      <c r="F26" s="440">
        <f t="shared" si="2"/>
        <v>1.1471261994442521E-6</v>
      </c>
      <c r="G26" s="353" t="s">
        <v>935</v>
      </c>
      <c r="H26" s="125" t="s">
        <v>614</v>
      </c>
      <c r="N26" s="350">
        <v>18</v>
      </c>
    </row>
    <row r="27" spans="1:14" x14ac:dyDescent="0.2">
      <c r="A27" s="125" t="s">
        <v>617</v>
      </c>
      <c r="B27" s="440">
        <f>PM!B61-B11</f>
        <v>2.673226858642337E-5</v>
      </c>
      <c r="C27" s="441">
        <f>PM!B61-PM!B65</f>
        <v>2.673226858642337E-5</v>
      </c>
      <c r="D27" s="441">
        <v>0</v>
      </c>
      <c r="E27" s="441">
        <v>0</v>
      </c>
      <c r="F27" s="440">
        <f t="shared" si="2"/>
        <v>2.673226858642337E-5</v>
      </c>
      <c r="G27" s="353" t="s">
        <v>935</v>
      </c>
      <c r="H27" s="125" t="s">
        <v>845</v>
      </c>
      <c r="N27" s="350">
        <v>18</v>
      </c>
    </row>
    <row r="28" spans="1:14" x14ac:dyDescent="0.2">
      <c r="A28" s="125" t="s">
        <v>622</v>
      </c>
      <c r="B28" s="440">
        <f>PM!B79-B12</f>
        <v>1.1004782257533016E-8</v>
      </c>
      <c r="C28" s="441">
        <f>PM!B79-PM!B82</f>
        <v>1.1004782257533016E-8</v>
      </c>
      <c r="D28" s="441">
        <v>0</v>
      </c>
      <c r="E28" s="441">
        <v>0</v>
      </c>
      <c r="F28" s="440">
        <f t="shared" si="2"/>
        <v>1.1004782257533016E-8</v>
      </c>
      <c r="G28" s="353" t="s">
        <v>935</v>
      </c>
      <c r="H28" s="125" t="s">
        <v>845</v>
      </c>
      <c r="N28" s="350">
        <v>18</v>
      </c>
    </row>
    <row r="29" spans="1:14" x14ac:dyDescent="0.2">
      <c r="A29" s="125" t="s">
        <v>638</v>
      </c>
      <c r="B29" s="440">
        <f>PM!B88-B13</f>
        <v>1.6545850145821411E-5</v>
      </c>
      <c r="C29" s="441">
        <v>0</v>
      </c>
      <c r="D29" s="441">
        <f>PM!B88-PM!B89</f>
        <v>1.6545850145821411E-5</v>
      </c>
      <c r="E29" s="441">
        <v>0</v>
      </c>
      <c r="F29" s="440">
        <f t="shared" si="2"/>
        <v>1.6545850145821411E-5</v>
      </c>
      <c r="G29" s="353" t="s">
        <v>935</v>
      </c>
      <c r="H29" s="125" t="s">
        <v>846</v>
      </c>
      <c r="N29" s="350">
        <v>18</v>
      </c>
    </row>
    <row r="30" spans="1:14" x14ac:dyDescent="0.2">
      <c r="A30" s="200" t="s">
        <v>926</v>
      </c>
      <c r="B30" s="440">
        <f>PM!B124</f>
        <v>9.5510000000000005E-6</v>
      </c>
      <c r="C30" s="441">
        <f>PM!B124</f>
        <v>9.5510000000000005E-6</v>
      </c>
      <c r="D30" s="441">
        <v>0</v>
      </c>
      <c r="E30" s="441">
        <v>0</v>
      </c>
      <c r="F30" s="440">
        <f t="shared" ref="F30:F34" si="3">SUM(C30:E30)</f>
        <v>9.5510000000000005E-6</v>
      </c>
      <c r="G30" s="353" t="s">
        <v>935</v>
      </c>
      <c r="H30" s="125" t="s">
        <v>833</v>
      </c>
      <c r="N30" s="350">
        <v>18</v>
      </c>
    </row>
    <row r="31" spans="1:14" x14ac:dyDescent="0.2">
      <c r="A31" s="200" t="s">
        <v>927</v>
      </c>
      <c r="B31" s="440">
        <f>PM!B125</f>
        <v>8.1839999999999999E-6</v>
      </c>
      <c r="C31" s="441">
        <v>0</v>
      </c>
      <c r="D31" s="441">
        <f>PM!B125</f>
        <v>8.1839999999999999E-6</v>
      </c>
      <c r="E31" s="441">
        <v>0</v>
      </c>
      <c r="F31" s="440">
        <f t="shared" si="3"/>
        <v>8.1839999999999999E-6</v>
      </c>
      <c r="G31" s="353" t="s">
        <v>935</v>
      </c>
      <c r="H31" s="125" t="s">
        <v>235</v>
      </c>
      <c r="N31" s="350">
        <v>18</v>
      </c>
    </row>
    <row r="32" spans="1:14" x14ac:dyDescent="0.2">
      <c r="A32" s="200" t="s">
        <v>928</v>
      </c>
      <c r="B32" s="440">
        <f>PM!B126</f>
        <v>5.4450000000000004E-7</v>
      </c>
      <c r="C32" s="441">
        <f>B32-D32</f>
        <v>4.3560000000000001E-7</v>
      </c>
      <c r="D32" s="441">
        <f>PM!B126/'Strip Ratio'!B8</f>
        <v>1.089E-7</v>
      </c>
      <c r="E32" s="441">
        <v>0</v>
      </c>
      <c r="F32" s="440">
        <f t="shared" si="3"/>
        <v>5.4450000000000004E-7</v>
      </c>
      <c r="G32" s="353" t="s">
        <v>935</v>
      </c>
      <c r="H32" s="125" t="s">
        <v>832</v>
      </c>
      <c r="N32" s="350">
        <v>18</v>
      </c>
    </row>
    <row r="33" spans="1:14" x14ac:dyDescent="0.2">
      <c r="A33" s="200" t="s">
        <v>929</v>
      </c>
      <c r="B33" s="440">
        <f>PM!B127</f>
        <v>7.800000000000001E-8</v>
      </c>
      <c r="C33" s="441">
        <f>(B33-D33)/2</f>
        <v>3.2500000000000006E-8</v>
      </c>
      <c r="D33" s="441">
        <f>PM!B127/('Strip Ratio'!B8+1)</f>
        <v>1.3000000000000002E-8</v>
      </c>
      <c r="E33" s="441">
        <f>B33-C33-D33</f>
        <v>3.25E-8</v>
      </c>
      <c r="F33" s="440">
        <f t="shared" si="3"/>
        <v>7.800000000000001E-8</v>
      </c>
      <c r="G33" s="353" t="s">
        <v>935</v>
      </c>
      <c r="H33" s="125" t="s">
        <v>837</v>
      </c>
      <c r="N33" s="350">
        <v>18</v>
      </c>
    </row>
    <row r="34" spans="1:14" x14ac:dyDescent="0.2">
      <c r="A34" s="290" t="s">
        <v>930</v>
      </c>
      <c r="B34" s="440">
        <f>PM!B129</f>
        <v>1.2915277777777777E-5</v>
      </c>
      <c r="C34" s="441">
        <f>(B34-D34)/2</f>
        <v>5.3813657407407401E-6</v>
      </c>
      <c r="D34" s="441">
        <f>PM!B129/('Strip Ratio'!B8+1)</f>
        <v>2.1525462962962963E-6</v>
      </c>
      <c r="E34" s="441">
        <f>B34-C34-D34</f>
        <v>5.381365740740741E-6</v>
      </c>
      <c r="F34" s="440">
        <f t="shared" si="3"/>
        <v>1.2915277777777777E-5</v>
      </c>
      <c r="G34" s="353" t="s">
        <v>935</v>
      </c>
      <c r="H34" s="125" t="s">
        <v>837</v>
      </c>
      <c r="N34" s="350">
        <v>18</v>
      </c>
    </row>
    <row r="35" spans="1:14" x14ac:dyDescent="0.2">
      <c r="A35" s="308" t="s">
        <v>913</v>
      </c>
      <c r="B35" s="442">
        <f>SUM(B24:B34)</f>
        <v>8.1024241714771478E-5</v>
      </c>
      <c r="C35" s="443">
        <f t="shared" ref="C35:F35" si="4">SUM(C24:C34)</f>
        <v>4.2208520374856527E-5</v>
      </c>
      <c r="D35" s="443">
        <f t="shared" si="4"/>
        <v>3.2848886337542533E-5</v>
      </c>
      <c r="E35" s="443">
        <f t="shared" si="4"/>
        <v>5.9668350023724217E-6</v>
      </c>
      <c r="F35" s="442">
        <f t="shared" si="4"/>
        <v>8.1024241714771478E-5</v>
      </c>
      <c r="G35" s="187" t="s">
        <v>935</v>
      </c>
    </row>
    <row r="68" spans="6:7" x14ac:dyDescent="0.2">
      <c r="F68" s="259"/>
      <c r="G68" s="259"/>
    </row>
    <row r="69" spans="6:7" x14ac:dyDescent="0.2">
      <c r="F69" s="260"/>
    </row>
    <row r="70" spans="6:7" x14ac:dyDescent="0.2">
      <c r="F70" s="260"/>
    </row>
    <row r="71" spans="6:7" x14ac:dyDescent="0.2">
      <c r="F71" s="260"/>
    </row>
    <row r="72" spans="6:7" x14ac:dyDescent="0.2">
      <c r="F72" s="260"/>
    </row>
    <row r="73" spans="6:7" x14ac:dyDescent="0.2">
      <c r="F73" s="260"/>
    </row>
    <row r="74" spans="6:7" x14ac:dyDescent="0.2">
      <c r="F74" s="260"/>
    </row>
    <row r="75" spans="6:7" x14ac:dyDescent="0.2">
      <c r="F75" s="260"/>
    </row>
    <row r="76" spans="6:7" x14ac:dyDescent="0.2">
      <c r="F76" s="260"/>
    </row>
    <row r="77" spans="6:7" x14ac:dyDescent="0.2">
      <c r="F77" s="260"/>
    </row>
    <row r="78" spans="6:7" x14ac:dyDescent="0.2">
      <c r="F78" s="260"/>
    </row>
    <row r="79" spans="6:7" x14ac:dyDescent="0.2">
      <c r="F79" s="260"/>
    </row>
  </sheetData>
  <mergeCells count="2">
    <mergeCell ref="B6:E6"/>
    <mergeCell ref="B22:E22"/>
  </mergeCells>
  <pageMargins left="0.7" right="0.7" top="0.75" bottom="0.75" header="0.3" footer="0.3"/>
  <pageSetup orientation="portrait" r:id="rId1"/>
</worksheet>
</file>

<file path=customUI/_rels/customUI.xml.rels><?xml version="1.0" encoding="UTF-8" standalone="yes"?>
<Relationships xmlns="http://schemas.openxmlformats.org/package/2006/relationships"><Relationship Id="GaBiNoText_jpg" Type="http://schemas.openxmlformats.org/officeDocument/2006/relationships/image" Target="images/GaBiNoText.jpg"/><Relationship Id="GaBiNoBack_png" Type="http://schemas.openxmlformats.org/officeDocument/2006/relationships/image" Target="images/GaBiNoBack.png"/><Relationship Id="GaBi_jpg" Type="http://schemas.openxmlformats.org/officeDocument/2006/relationships/image" Target="images/GaBi.jpg"/><Relationship Id="GaBi_png" Type="http://schemas.openxmlformats.org/officeDocument/2006/relationships/image" Target="images/GaBi.png"/></Relationships>
</file>

<file path=customUI/customUI.xml><?xml version="1.0" encoding="utf-8"?>
<!--RibbonX Visual Designer 1.93 for Microsoft Excel 14.0. XML Code produced on 2013/02/21-->
<customUI xmlns="http://schemas.microsoft.com/office/2006/01/customui">
  <ribbon startFromScratch="false">
    <tabs>
      <tab id="UnitProcess" label="Unit Process">
        <group id="FileGen" label="File Generation">
          <button id="GenDS" imageMso="ChartShowData" label="Generate DS File" screentip="Gererate DS File" showImage="true" showLabel="true" size="large" supertip="This function will create a new DS file based on the template." onAction="GenDS_onAction"/>
          <button id="GenReport" imageMso="BlogPublish" label="Generate DF Report" showImage="true" size="large" supertip="Generate DF reports (word) from DS (excel) files" onAction="GenReport_onAction"/>
          <button id="GenChart" imageMso="SmartArtAddShapeBelow" label="Generate DF Flowchart" screentip="Gererate DF Process Flowchart" showImage="true" showLabel="true" size="large" supertip="This function will create a process flowchart based on the DS information. When generating more than seven tracked input flows, you might need to manually adjust the positions of the upstream flows." onAction="GenChart_onAction"/>
        </group>
        <group id="DataExchange" label="Data Exchange">
          <button id="GenGaBiImport" image="GaBiNoBack_png" label="Generate GaBi Import" showImage="true" size="large" supertip="Export data to GaBi import format based on the GaBi version" onAction="GenGaBiImport_onAction"/>
          <button id="FormatGaBiOutput" imageMso="CacheListData" label="GaBi Report" showImage="true" showLabel="true" size="large" supertip="Format GaBi output to be used in reports" onAction="FormatGaBiOutput_onAction"/>
          <button id="GabiPivot" imageMso="ChartPrimaryHorizontalGridlines" label="GaBi Pivot" screentip="Generate pivot tables from raw GaBi Balnace" showImage="true" showLabel="true" size="large" supertip="Taking the raw input data from GaBi and generate pivot tables for analysis" onAction="GabiPivot_onAction"/>
          <button id="GabiFieldDef" imageMso="FormulaMoreFunctionsMenu" label="GaBi Field Definition" screentip="The field definition mapping between GaBi and Report" showImage="true" showLabel="true" size="large" supertip="Define the fields so that the Gabi default field names (Emission, Process and Subprocess) in headings can be automatically replaced." onAction="GabiFieldDef_onAction"/>
        </group>
        <group id="DataManagement" label="Data Management">
          <button id="GenUPList" imageMso="TableSharePointListsModifyColumnsAndSettings" label="Generate UP Library" showImage="true" showLabel="true" size="large" supertip="Generate UP List. Based on the UP library database. You will have to open the UP librayr database first before using this function." onAction="GenUPList_onAction"/>
          <button id="BtnGenPublicDS" imageMso="MeetingsWorkspace" label="Save As Public DS" screentip="Remove screenshots and pictures in DS for the public" showImage="true" showLabel="true" size="large" supertip="Remove screenshots and pictures in DS for the public due to copyright issues" onAction="BtnGenPublicDS_onAction"/>
        </group>
        <group id="GrpAbout" label="About">
          <button id="AboutUP" imageMso="BlogHomePage" label="About" screentip="About this add-in" showImage="true" showLabel="true" size="large" getSupertip="AboutUP_getSupertip" onAction="AboutUP_onAction"/>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890B4C19-36BB-4D61-8A71-1DC10C20957D}">
  <ds:schemaRefs>
    <ds:schemaRef ds:uri="http://schemas.microsoft.com/sharepoint/v3/contenttype/forms"/>
  </ds:schemaRefs>
</ds:datastoreItem>
</file>

<file path=customXml/itemProps2.xml><?xml version="1.0" encoding="utf-8"?>
<ds:datastoreItem xmlns:ds="http://schemas.openxmlformats.org/officeDocument/2006/customXml" ds:itemID="{2B31D577-E131-4DCA-A373-4B1626E4FC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0F585B-4292-4287-AEA5-1CA281C0C4B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Info</vt:lpstr>
      <vt:lpstr>Data Summary</vt:lpstr>
      <vt:lpstr>Reference Source Info</vt:lpstr>
      <vt:lpstr>PS</vt:lpstr>
      <vt:lpstr>DQI</vt:lpstr>
      <vt:lpstr>Strip Ratio</vt:lpstr>
      <vt:lpstr>Mine Production</vt:lpstr>
      <vt:lpstr>PM</vt:lpstr>
      <vt:lpstr>PM Split</vt:lpstr>
      <vt:lpstr>VOC</vt:lpstr>
      <vt:lpstr>Energy</vt:lpstr>
      <vt:lpstr>Energy Split</vt:lpstr>
      <vt:lpstr>Explosives</vt:lpstr>
      <vt:lpstr>NOx </vt:lpstr>
      <vt:lpstr>Conversions</vt:lpstr>
      <vt:lpstr>Assumptions</vt:lpstr>
      <vt:lpstr>Chart</vt:lpstr>
      <vt:lpstr>GaBi 5 Import</vt:lpstr>
      <vt:lpstr>lstOrigin</vt:lpstr>
      <vt:lpstr>lstSourceType</vt:lpstr>
    </vt:vector>
  </TitlesOfParts>
  <Company>Booz Allen Hamilton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Shih, Chungyan [USA]</dc:creator>
  <cp:lastModifiedBy>Krynock, Michelle M. (CONTR)</cp:lastModifiedBy>
  <dcterms:created xsi:type="dcterms:W3CDTF">2011-11-30T07:51:28Z</dcterms:created>
  <dcterms:modified xsi:type="dcterms:W3CDTF">2017-01-03T20:31:11Z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