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75" yWindow="90" windowWidth="13620" windowHeight="9885" tabRatio="804"/>
  </bookViews>
  <sheets>
    <sheet name="Info" sheetId="1" r:id="rId1"/>
    <sheet name="Data Summary" sheetId="2" r:id="rId2"/>
    <sheet name="Reference Source Info" sheetId="4" r:id="rId3"/>
    <sheet name="DQI" sheetId="3" r:id="rId4"/>
    <sheet name="C_Diesel" sheetId="5" r:id="rId5"/>
    <sheet name="Herb" sheetId="13" r:id="rId6"/>
    <sheet name="Fert" sheetId="12" r:id="rId7"/>
    <sheet name="Yield_SRWC" sheetId="8" r:id="rId8"/>
    <sheet name="FugDust" sheetId="11" r:id="rId9"/>
    <sheet name="C_Up" sheetId="14" r:id="rId10"/>
    <sheet name="C_Water" sheetId="15" r:id="rId11"/>
    <sheet name="E_Water" sheetId="16" r:id="rId12"/>
    <sheet name="Conversions" sheetId="6" r:id="rId13"/>
    <sheet name="Assumptions" sheetId="7" r:id="rId14"/>
    <sheet name="GaBi 5 Import" sheetId="19" r:id="rId15"/>
  </sheets>
  <externalReferences>
    <externalReference r:id="rId16"/>
    <externalReference r:id="rId17"/>
    <externalReference r:id="rId18"/>
  </externalReferences>
  <definedNames>
    <definedName name="Barrel_to_Gallons" localSheetId="13">'[1]Misc Factors'!$B$88</definedName>
    <definedName name="Barrel_to_Gallons">'[1]Misc Factors'!$B$88</definedName>
    <definedName name="Catalytic_Reformer_Energy_Consumption_Sensitivity_Indicator" localSheetId="13">'[1]SA Inputs'!#REF!</definedName>
    <definedName name="Catalytic_Reformer_Energy_Consumption_Sensitivity_Indicator" localSheetId="12">'[1]SA Inputs'!#REF!</definedName>
    <definedName name="Catalytic_Reformer_Energy_Consumption_Sensitivity_Indicator">'[1]SA Inputs'!#REF!</definedName>
    <definedName name="Delayed_Coker_Energy_Consumption_Sensitivity_Indicator" localSheetId="13">'[1]SA Inputs'!#REF!</definedName>
    <definedName name="Delayed_Coker_Energy_Consumption_Sensitivity_Indicator" localSheetId="12">'[1]SA Inputs'!#REF!</definedName>
    <definedName name="Delayed_Coker_Energy_Consumption_Sensitivity_Indicator">'[1]SA Inputs'!#REF!</definedName>
    <definedName name="Hydrogen_Consump_minus_Production" localSheetId="13">'[1]H2 intensities'!#REF!</definedName>
    <definedName name="Hydrogen_Consump_minus_Production" localSheetId="12">'[1]H2 intensities'!#REF!</definedName>
    <definedName name="Hydrogen_Consump_minus_Production">'[1]H2 intensities'!#REF!</definedName>
    <definedName name="lstCompleteness" localSheetId="13">#REF!</definedName>
    <definedName name="lstCompleteness" localSheetId="12">'[3]Data Summary'!$E$126:$E$131</definedName>
    <definedName name="lstCompleteness" localSheetId="0">'[3]Data Summary'!$E$126:$E$131</definedName>
    <definedName name="lstCompleteness">#REF!</definedName>
    <definedName name="lstOrigin" localSheetId="13">#REF!</definedName>
    <definedName name="lstOrigin" localSheetId="12">'[3]Data Summary'!$H$126:$H$131</definedName>
    <definedName name="lstOrigin" localSheetId="0">'[3]Data Summary'!$H$126:$H$131</definedName>
    <definedName name="lstOrigin">#REF!</definedName>
    <definedName name="lstProcessScope" localSheetId="13">#REF!</definedName>
    <definedName name="lstProcessScope" localSheetId="12">'[3]Data Summary'!$D$126:$D$130</definedName>
    <definedName name="lstProcessScope" localSheetId="0">'[3]Data Summary'!$D$126:$D$130</definedName>
    <definedName name="lstProcessScope">#REF!</definedName>
    <definedName name="lstProcessType" localSheetId="13">#REF!</definedName>
    <definedName name="lstProcessType" localSheetId="12">'[3]Data Summary'!$C$126:$C$135</definedName>
    <definedName name="lstProcessType" localSheetId="0">'[3]Data Summary'!$C$126:$C$135</definedName>
    <definedName name="lstProcessType">#REF!</definedName>
    <definedName name="lstSourceType" localSheetId="13">#REF!</definedName>
    <definedName name="lstSourceType" localSheetId="12">'[3]Reference Source Info'!$B$51:$B$59</definedName>
    <definedName name="lstSourceType" localSheetId="0">'[3]Reference Source Info'!$B$51:$B$59</definedName>
    <definedName name="lstSourceType">#REF!</definedName>
    <definedName name="lstTracked" localSheetId="13">#REF!</definedName>
    <definedName name="lstTracked" localSheetId="12">'[3]Data Summary'!$J$126:$J$128</definedName>
    <definedName name="lstTracked" localSheetId="0">'[3]Data Summary'!$J$126:$J$128</definedName>
    <definedName name="lstTracked">#REF!</definedName>
    <definedName name="_xlnm.Print_Area" localSheetId="13">Assumptions!$C$1:$Q$16</definedName>
    <definedName name="_xlnm.Print_Area" localSheetId="4">C_Diesel!$A$1:$U$185</definedName>
    <definedName name="_xlnm.Print_Area" localSheetId="12">Conversions!$B$1:$G$33</definedName>
    <definedName name="_xlnm.Print_Area" localSheetId="1">'Data Summary'!$A$1:$P$94</definedName>
    <definedName name="_xlnm.Print_Area" localSheetId="3">DQI!$A$1:$L$49</definedName>
    <definedName name="_xlnm.Print_Area" localSheetId="0">Info!$A$1:$N$51</definedName>
    <definedName name="_xlnm.Print_Area" localSheetId="2">'Reference Source Info'!$A$2:$W$27</definedName>
    <definedName name="_xlnm.Print_Titles" localSheetId="2">'Reference Source Info'!$A:$A</definedName>
    <definedName name="Ton_to_Kilogram" localSheetId="13">'[1]Misc Factors'!#REF!</definedName>
    <definedName name="Ton_to_Kilogram" localSheetId="12">'[1]Misc Factors'!#REF!</definedName>
    <definedName name="Ton_to_Kilogram">'[1]Misc Factors'!#REF!</definedName>
    <definedName name="Vacuum_distillation_Energy_Consumption_Sensitivity_Indicator" localSheetId="13">'[1]SA Inputs'!#REF!</definedName>
    <definedName name="Vacuum_distillation_Energy_Consumption_Sensitivity_Indicator" localSheetId="12">'[1]SA Inputs'!#REF!</definedName>
    <definedName name="Vacuum_distillation_Energy_Consumption_Sensitivity_Indicator">'[1]SA Inputs'!#REF!</definedName>
    <definedName name="Weight_Conversion" localSheetId="13">'[1]Loss Factors'!#REF!</definedName>
    <definedName name="Weight_Conversion" localSheetId="12">'[1]Loss Factors'!#REF!</definedName>
    <definedName name="Weight_Conversion">'[1]Loss Factors'!#REF!</definedName>
    <definedName name="Z_A8892CA7_9094_4C03_B23A_DC3610B7C783_.wvu.PrintArea" localSheetId="1" hidden="1">'Data Summary'!$A$1:$P$94</definedName>
    <definedName name="Z_A8892CA7_9094_4C03_B23A_DC3610B7C783_.wvu.PrintArea" localSheetId="3" hidden="1">DQI!$A$1:$L$10</definedName>
    <definedName name="Z_A8892CA7_9094_4C03_B23A_DC3610B7C783_.wvu.PrintArea" localSheetId="0" hidden="1">Info!$A$1:$N$51</definedName>
    <definedName name="Z_A8892CA7_9094_4C03_B23A_DC3610B7C783_.wvu.PrintArea" localSheetId="2" hidden="1">'Reference Source Info'!$A$1:$B$27</definedName>
    <definedName name="Z_A8892CA7_9094_4C03_B23A_DC3610B7C783_.wvu.PrintTitles" localSheetId="2" hidden="1">'Reference Source Info'!$A:$A</definedName>
  </definedNames>
  <calcPr calcId="171027" calcMode="manual" fullCalcOnLoad="1"/>
  <customWorkbookViews>
    <customWorkbookView name="Robert Eckard - Personal View" guid="{A8892CA7-9094-4C03-B23A-DC3610B7C783}" mergeInterval="0" personalView="1" maximized="1" xWindow="1" yWindow="1" windowWidth="1197" windowHeight="564" tabRatio="804" activeSheetId="1" showComments="commIndAndComment"/>
  </customWorkbookViews>
</workbook>
</file>

<file path=xl/calcChain.xml><?xml version="1.0" encoding="utf-8"?>
<calcChain xmlns="http://schemas.openxmlformats.org/spreadsheetml/2006/main">
  <c r="H86" i="2" l="1"/>
  <c r="H87" i="2"/>
  <c r="H88" i="2"/>
  <c r="H89" i="2"/>
  <c r="H90" i="2"/>
  <c r="H91" i="2"/>
  <c r="H92" i="2"/>
  <c r="H93" i="2"/>
  <c r="H94" i="2"/>
  <c r="H85" i="2"/>
  <c r="H70" i="2"/>
  <c r="H71" i="2"/>
  <c r="H72" i="2"/>
  <c r="H73" i="2"/>
  <c r="H74" i="2"/>
  <c r="H75" i="2"/>
  <c r="H76" i="2"/>
  <c r="H77" i="2"/>
  <c r="H78" i="2"/>
  <c r="H79" i="2"/>
  <c r="H69" i="2"/>
  <c r="F44" i="5"/>
  <c r="F45" i="5" s="1"/>
  <c r="D62" i="2"/>
  <c r="G72" i="2"/>
  <c r="D41" i="2"/>
  <c r="D40" i="2"/>
  <c r="E36" i="2"/>
  <c r="E35" i="2"/>
  <c r="D63" i="2"/>
  <c r="L5" i="2"/>
  <c r="D26" i="2"/>
  <c r="D29" i="2"/>
  <c r="D31" i="2"/>
  <c r="D39" i="2"/>
  <c r="G69" i="2"/>
  <c r="I69" i="2"/>
  <c r="G85" i="2"/>
  <c r="I85" i="2"/>
  <c r="D4" i="1"/>
  <c r="C46" i="8"/>
  <c r="E24" i="2" s="1"/>
  <c r="F6" i="14"/>
  <c r="B8" i="13"/>
  <c r="B9" i="13"/>
  <c r="E42" i="2" s="1"/>
  <c r="B14" i="12"/>
  <c r="B15" i="12" s="1"/>
  <c r="E46" i="2" s="1"/>
  <c r="B13" i="12"/>
  <c r="B10" i="12"/>
  <c r="B11" i="12" s="1"/>
  <c r="E45" i="2" s="1"/>
  <c r="B9" i="12"/>
  <c r="B6" i="12"/>
  <c r="B7" i="12" s="1"/>
  <c r="A27" i="12" s="1"/>
  <c r="B5" i="12"/>
  <c r="D25" i="6"/>
  <c r="D26" i="6" s="1"/>
  <c r="D35" i="6"/>
  <c r="D34" i="6"/>
  <c r="D36" i="6" s="1"/>
  <c r="F37" i="16"/>
  <c r="G34" i="16"/>
  <c r="F42" i="16" s="1"/>
  <c r="E59" i="2" s="1"/>
  <c r="F34" i="16"/>
  <c r="O31" i="15"/>
  <c r="N31" i="15"/>
  <c r="F28" i="15"/>
  <c r="F29" i="15" s="1"/>
  <c r="F30" i="15" s="1"/>
  <c r="M31" i="15"/>
  <c r="F14" i="15" s="1"/>
  <c r="U17" i="15"/>
  <c r="T17" i="15"/>
  <c r="S17" i="15"/>
  <c r="C13" i="15"/>
  <c r="R17" i="15"/>
  <c r="C12" i="15" s="1"/>
  <c r="Q17" i="15"/>
  <c r="C11" i="15" s="1"/>
  <c r="P17" i="15"/>
  <c r="C10" i="15" s="1"/>
  <c r="O17" i="15"/>
  <c r="N17" i="15"/>
  <c r="C8" i="15" s="1"/>
  <c r="E14" i="15"/>
  <c r="C9" i="15"/>
  <c r="F8" i="14"/>
  <c r="F9" i="14" s="1"/>
  <c r="F12" i="14" s="1"/>
  <c r="E27" i="2" s="1"/>
  <c r="G86" i="2" s="1"/>
  <c r="I86" i="2" s="1"/>
  <c r="F7" i="14"/>
  <c r="A34" i="12"/>
  <c r="N33" i="12"/>
  <c r="N32" i="12"/>
  <c r="N31" i="12"/>
  <c r="F5" i="11"/>
  <c r="A42" i="8"/>
  <c r="A41" i="8"/>
  <c r="A40" i="8"/>
  <c r="A39" i="8"/>
  <c r="A38" i="8"/>
  <c r="A37" i="8"/>
  <c r="A36" i="8"/>
  <c r="A35" i="8"/>
  <c r="A34" i="8"/>
  <c r="A33" i="8"/>
  <c r="A32" i="8"/>
  <c r="A31" i="8"/>
  <c r="C45" i="8"/>
  <c r="A30" i="8"/>
  <c r="A29" i="8"/>
  <c r="A28" i="8"/>
  <c r="C17" i="8"/>
  <c r="C16" i="8"/>
  <c r="B15" i="8"/>
  <c r="F58" i="5"/>
  <c r="M58" i="5"/>
  <c r="F53" i="5" s="1"/>
  <c r="F54" i="5" s="1"/>
  <c r="F37" i="5"/>
  <c r="F39" i="5" s="1"/>
  <c r="F40" i="5" s="1"/>
  <c r="D32" i="6"/>
  <c r="D33" i="6" s="1"/>
  <c r="D28" i="6" s="1"/>
  <c r="D17" i="6"/>
  <c r="F32" i="5"/>
  <c r="F29" i="5"/>
  <c r="F30" i="5" s="1"/>
  <c r="F33" i="5" s="1"/>
  <c r="F34" i="5" s="1"/>
  <c r="F42" i="5" s="1"/>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D3" i="1"/>
  <c r="G40" i="16"/>
  <c r="F44" i="16" s="1"/>
  <c r="C43" i="8"/>
  <c r="F24" i="2" s="1"/>
  <c r="C44" i="8"/>
  <c r="G24" i="2"/>
  <c r="B4" i="8"/>
  <c r="B6" i="8" s="1"/>
  <c r="F41" i="16"/>
  <c r="E58" i="2" s="1"/>
  <c r="E60" i="2" s="1"/>
  <c r="G92" i="2" s="1"/>
  <c r="I92" i="2" s="1"/>
  <c r="F38" i="16"/>
  <c r="F39" i="16" s="1"/>
  <c r="F40" i="16" s="1"/>
  <c r="E26" i="2" l="1"/>
  <c r="E25" i="2"/>
  <c r="E61" i="2"/>
  <c r="G93" i="2" s="1"/>
  <c r="I93" i="2" s="1"/>
  <c r="E48" i="2"/>
  <c r="F6" i="11"/>
  <c r="F7" i="11" s="1"/>
  <c r="F46" i="5"/>
  <c r="F47" i="5" s="1"/>
  <c r="F48" i="5" s="1"/>
  <c r="F49" i="5" s="1"/>
  <c r="D29" i="6"/>
  <c r="D30" i="6" s="1"/>
  <c r="D24" i="6"/>
  <c r="E32" i="2" s="1"/>
  <c r="E33" i="2" s="1"/>
  <c r="G71" i="2" s="1"/>
  <c r="I71" i="2" s="1"/>
  <c r="C14" i="15"/>
  <c r="D14" i="15" s="1"/>
  <c r="D15" i="15" s="1"/>
  <c r="D16" i="15" s="1"/>
  <c r="B12" i="5"/>
  <c r="G30" i="2" s="1"/>
  <c r="B11" i="5"/>
  <c r="F30" i="2" s="1"/>
  <c r="B10" i="5"/>
  <c r="E30" i="2" s="1"/>
  <c r="E31" i="2" s="1"/>
  <c r="E49" i="2"/>
  <c r="A28" i="12"/>
  <c r="E44" i="2"/>
  <c r="E47" i="2" s="1"/>
  <c r="F15" i="15"/>
  <c r="F16" i="15" s="1"/>
  <c r="F20" i="15"/>
  <c r="F21" i="15" s="1"/>
  <c r="F22" i="15" s="1"/>
  <c r="E43" i="2"/>
  <c r="G76" i="2" s="1"/>
  <c r="I76" i="2" s="1"/>
  <c r="F31" i="15"/>
  <c r="E53" i="2"/>
  <c r="E57" i="2" s="1"/>
  <c r="G94" i="2" s="1"/>
  <c r="I94" i="2" s="1"/>
  <c r="B13" i="5"/>
  <c r="E28" i="2" s="1"/>
  <c r="E29" i="2" s="1"/>
  <c r="G70" i="2" s="1"/>
  <c r="I70" i="2" s="1"/>
  <c r="B14" i="5"/>
  <c r="F28" i="2" s="1"/>
  <c r="B15" i="5"/>
  <c r="G28" i="2" s="1"/>
  <c r="F43" i="16"/>
  <c r="G47" i="2" l="1"/>
  <c r="E41" i="2"/>
  <c r="G89" i="2" s="1"/>
  <c r="I89" i="2" s="1"/>
  <c r="F47" i="2"/>
  <c r="E39" i="2"/>
  <c r="G87" i="2" s="1"/>
  <c r="I87" i="2" s="1"/>
  <c r="E40" i="2"/>
  <c r="G88" i="2" s="1"/>
  <c r="I88" i="2" s="1"/>
  <c r="G73" i="2"/>
  <c r="I73" i="2" s="1"/>
  <c r="G75" i="2"/>
  <c r="I75" i="2" s="1"/>
  <c r="F49" i="2"/>
  <c r="G49" i="2"/>
  <c r="F8" i="11"/>
  <c r="E37" i="2"/>
  <c r="E62" i="2" s="1"/>
  <c r="F48" i="2"/>
  <c r="G48" i="2"/>
  <c r="G74" i="2"/>
  <c r="I74" i="2" s="1"/>
  <c r="A38" i="12"/>
  <c r="A31" i="12"/>
  <c r="A35" i="12" s="1"/>
  <c r="A36" i="12" s="1"/>
  <c r="A37" i="12" s="1"/>
  <c r="F24" i="15"/>
  <c r="E51" i="2" s="1"/>
  <c r="E55" i="2" s="1"/>
  <c r="G78" i="2" s="1"/>
  <c r="I78" i="2" s="1"/>
  <c r="F23" i="15"/>
  <c r="F25" i="15"/>
  <c r="E50" i="2" s="1"/>
  <c r="E54" i="2" s="1"/>
  <c r="G77" i="2" s="1"/>
  <c r="I77" i="2" s="1"/>
  <c r="F17" i="15"/>
  <c r="E52" i="2"/>
  <c r="E56" i="2" s="1"/>
  <c r="G79" i="2" s="1"/>
  <c r="I79" i="2" s="1"/>
  <c r="A40" i="12" l="1"/>
  <c r="A41" i="12" s="1"/>
  <c r="E63" i="2"/>
  <c r="G91" i="2" s="1"/>
  <c r="I91" i="2" s="1"/>
  <c r="G90" i="2"/>
  <c r="I90" i="2" s="1"/>
</calcChain>
</file>

<file path=xl/comments1.xml><?xml version="1.0" encoding="utf-8"?>
<comments xmlns="http://schemas.openxmlformats.org/spreadsheetml/2006/main">
  <authors>
    <author>rseckard</author>
  </authors>
  <commentList>
    <comment ref="E27" authorId="0" shapeId="0">
      <text>
        <r>
          <rPr>
            <b/>
            <sz val="9"/>
            <color indexed="81"/>
            <rFont val="Tahoma"/>
            <family val="2"/>
          </rPr>
          <t>rseckard:</t>
        </r>
        <r>
          <rPr>
            <sz val="9"/>
            <color indexed="81"/>
            <rFont val="Tahoma"/>
            <family val="2"/>
          </rPr>
          <t xml:space="preserve">
UPDATED BY GREG</t>
        </r>
      </text>
    </comment>
  </commentList>
</comments>
</file>

<file path=xl/comments2.xml><?xml version="1.0" encoding="utf-8"?>
<comments xmlns="http://schemas.openxmlformats.org/spreadsheetml/2006/main">
  <authors>
    <author>T. Skone, SAIC</author>
    <author>T. Skone</author>
  </authors>
  <commentList>
    <comment ref="A2" authorId="0" shapeId="0">
      <text>
        <r>
          <rPr>
            <b/>
            <sz val="8"/>
            <color indexed="81"/>
            <rFont val="Tahoma"/>
            <family val="2"/>
          </rPr>
          <t>T. Skone, SAIC:</t>
        </r>
        <r>
          <rPr>
            <sz val="8"/>
            <color indexed="81"/>
            <rFont val="Tahoma"/>
            <family val="2"/>
          </rPr>
          <t xml:space="preserve">
Automatically Generated</t>
        </r>
      </text>
    </comment>
    <comment ref="A3" authorId="0" shapeId="0">
      <text>
        <r>
          <rPr>
            <b/>
            <sz val="8"/>
            <color indexed="81"/>
            <rFont val="Tahoma"/>
            <family val="2"/>
          </rPr>
          <t>T. Skone, SAIC:</t>
        </r>
        <r>
          <rPr>
            <sz val="8"/>
            <color indexed="81"/>
            <rFont val="Tahoma"/>
            <family val="2"/>
          </rPr>
          <t xml:space="preserve">
Select from drop down list.</t>
        </r>
      </text>
    </comment>
    <comment ref="A4" authorId="0" shapeId="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text>
        <r>
          <rPr>
            <b/>
            <sz val="8"/>
            <color indexed="81"/>
            <rFont val="Tahoma"/>
            <family val="2"/>
          </rPr>
          <t>T. Skone, SAIC:</t>
        </r>
        <r>
          <rPr>
            <sz val="8"/>
            <color indexed="81"/>
            <rFont val="Tahoma"/>
            <family val="2"/>
          </rPr>
          <t xml:space="preserve">
List of additional authors by surname and abbreviated name (e.g., Newton, I.) seperated by commas.  "et al." may be used if more than five authors.</t>
        </r>
      </text>
    </comment>
    <comment ref="A7" authorId="0" shapeId="0">
      <text>
        <r>
          <rPr>
            <b/>
            <sz val="8"/>
            <color indexed="81"/>
            <rFont val="Tahoma"/>
            <family val="2"/>
          </rPr>
          <t>T. Skone, SAIC:</t>
        </r>
        <r>
          <rPr>
            <sz val="8"/>
            <color indexed="81"/>
            <rFont val="Tahoma"/>
            <family val="2"/>
          </rPr>
          <t xml:space="preserve">
Enter year of publication (e.g., 1994)</t>
        </r>
      </text>
    </comment>
    <comment ref="A8" authorId="1" shapeId="0">
      <text>
        <r>
          <rPr>
            <b/>
            <sz val="8"/>
            <color indexed="81"/>
            <rFont val="Tahoma"/>
            <family val="2"/>
          </rPr>
          <t>T. Skone:</t>
        </r>
        <r>
          <rPr>
            <sz val="8"/>
            <color indexed="81"/>
            <rFont val="Tahoma"/>
            <family val="2"/>
          </rPr>
          <t xml:space="preserve">
Insert date of document, mm/dd/yyyy</t>
        </r>
      </text>
    </comment>
    <comment ref="A9" authorId="0" shapeId="0">
      <text>
        <r>
          <rPr>
            <b/>
            <sz val="8"/>
            <color indexed="81"/>
            <rFont val="Tahoma"/>
            <family val="2"/>
          </rPr>
          <t>T. Skone, SAIC:</t>
        </r>
        <r>
          <rPr>
            <sz val="8"/>
            <color indexed="81"/>
            <rFont val="Tahoma"/>
            <family val="2"/>
          </rPr>
          <t xml:space="preserve">
Enter Place of Publication (e.g., EPA, NREL, DOE, McGraw Hill)</t>
        </r>
      </text>
    </comment>
    <comment ref="A10" authorId="0" shapeId="0">
      <text>
        <r>
          <rPr>
            <b/>
            <sz val="8"/>
            <color indexed="81"/>
            <rFont val="Tahoma"/>
            <family val="2"/>
          </rPr>
          <t>T. Skone, SAIC:</t>
        </r>
        <r>
          <rPr>
            <sz val="8"/>
            <color indexed="81"/>
            <rFont val="Tahoma"/>
            <family val="2"/>
          </rPr>
          <t xml:space="preserve">
Enter name of Publisher (e.g., CRC)</t>
        </r>
      </text>
    </comment>
    <comment ref="A12" authorId="0" shapeId="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text>
        <r>
          <rPr>
            <b/>
            <sz val="8"/>
            <color indexed="81"/>
            <rFont val="Tahoma"/>
            <family val="2"/>
          </rPr>
          <t>T. Skone, SAIC:</t>
        </r>
        <r>
          <rPr>
            <sz val="8"/>
            <color indexed="81"/>
            <rFont val="Tahoma"/>
            <family val="2"/>
          </rPr>
          <t xml:space="preserve">
Enter the name of a Journal an article is published in.</t>
        </r>
      </text>
    </comment>
    <comment ref="A16" authorId="0" shapeId="0">
      <text>
        <r>
          <rPr>
            <b/>
            <sz val="8"/>
            <color indexed="81"/>
            <rFont val="Tahoma"/>
            <family val="2"/>
          </rPr>
          <t>T. Skone, SAIC:</t>
        </r>
        <r>
          <rPr>
            <sz val="8"/>
            <color indexed="81"/>
            <rFont val="Tahoma"/>
            <family val="2"/>
          </rPr>
          <t xml:space="preserve">
Enter the volume of the journal an article is published in.</t>
        </r>
      </text>
    </comment>
    <comment ref="A17" authorId="0" shapeId="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text>
        <r>
          <rPr>
            <b/>
            <sz val="8"/>
            <color indexed="81"/>
            <rFont val="Tahoma"/>
            <family val="2"/>
          </rPr>
          <t>T. Skone:</t>
        </r>
        <r>
          <rPr>
            <sz val="8"/>
            <color indexed="81"/>
            <rFont val="Tahoma"/>
            <family val="2"/>
          </rPr>
          <t xml:space="preserve">
Insert Docket Number of government file.</t>
        </r>
      </text>
    </comment>
    <comment ref="A20" authorId="0" shapeId="0">
      <text>
        <r>
          <rPr>
            <b/>
            <sz val="8"/>
            <color indexed="81"/>
            <rFont val="Tahoma"/>
            <family val="2"/>
          </rPr>
          <t>T. Skone, SAIC:</t>
        </r>
        <r>
          <rPr>
            <sz val="8"/>
            <color indexed="81"/>
            <rFont val="Tahoma"/>
            <family val="2"/>
          </rPr>
          <t xml:space="preserve">
Enter Internet address the data source can be obtained from.</t>
        </r>
      </text>
    </comment>
    <comment ref="A22" authorId="0" shapeId="0">
      <text>
        <r>
          <rPr>
            <b/>
            <sz val="8"/>
            <color indexed="81"/>
            <rFont val="Tahoma"/>
            <family val="2"/>
          </rPr>
          <t>T. Skone, SAIC:</t>
        </r>
        <r>
          <rPr>
            <sz val="8"/>
            <color indexed="81"/>
            <rFont val="Tahoma"/>
            <family val="2"/>
          </rPr>
          <t xml:space="preserve">
Select from list.</t>
        </r>
      </text>
    </comment>
    <comment ref="A23" authorId="0" shapeId="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text>
        <r>
          <rPr>
            <b/>
            <sz val="8"/>
            <color indexed="81"/>
            <rFont val="Tahoma"/>
            <family val="2"/>
          </rPr>
          <t>T. Skone, SAIC:</t>
        </r>
        <r>
          <rPr>
            <sz val="8"/>
            <color indexed="81"/>
            <rFont val="Tahoma"/>
            <family val="2"/>
          </rPr>
          <t xml:space="preserve">
Enter the representativeness of the the data sources (e.g., U.S. Average, Industry Average (i.e., represenative sample), Single Facility</t>
        </r>
      </text>
    </comment>
    <comment ref="A26" authorId="0" shapeId="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text>
        <r>
          <rPr>
            <b/>
            <sz val="8"/>
            <color indexed="81"/>
            <rFont val="Tahoma"/>
            <family val="2"/>
          </rPr>
          <t>T. Skone, SAIC:</t>
        </r>
        <r>
          <rPr>
            <sz val="8"/>
            <color indexed="81"/>
            <rFont val="Tahoma"/>
            <family val="2"/>
          </rPr>
          <t xml:space="preserve">
Describe the data source.  User comment field.</t>
        </r>
      </text>
    </comment>
  </commentList>
</comments>
</file>

<file path=xl/sharedStrings.xml><?xml version="1.0" encoding="utf-8"?>
<sst xmlns="http://schemas.openxmlformats.org/spreadsheetml/2006/main" count="2061" uniqueCount="1146">
  <si>
    <t>www.dieselnet.com/standards/us/nonroad.php</t>
  </si>
  <si>
    <t>Washington, D.C./Internet</t>
  </si>
  <si>
    <r>
      <t xml:space="preserve">Western Regional Air Partnership. 2004. </t>
    </r>
    <r>
      <rPr>
        <i/>
        <sz val="10"/>
        <rFont val="Arial"/>
        <family val="2"/>
      </rPr>
      <t>WRAP Fugitive Dust Handbook</t>
    </r>
    <r>
      <rPr>
        <sz val="10"/>
        <rFont val="Arial"/>
        <family val="2"/>
      </rPr>
      <t>. WGA Contract No. 30204-83. Western Governors' Association.</t>
    </r>
  </si>
  <si>
    <r>
      <t xml:space="preserve">C&amp;G. 2004. </t>
    </r>
    <r>
      <rPr>
        <i/>
        <sz val="10"/>
        <rFont val="Arial"/>
        <family val="2"/>
      </rPr>
      <t>Tree Planting from C&amp;G</t>
    </r>
    <r>
      <rPr>
        <sz val="10"/>
        <rFont val="Arial"/>
        <family val="2"/>
      </rPr>
      <t>. Manufacturer Specifications.</t>
    </r>
  </si>
  <si>
    <r>
      <t xml:space="preserve">Prairie Agricultural Machine Institute. 1986. </t>
    </r>
    <r>
      <rPr>
        <i/>
        <sz val="10"/>
        <rFont val="Arial"/>
        <family val="2"/>
      </rPr>
      <t>Evaluation Report 504: Versatile (1985 Model) 2200 Seed Drill</t>
    </r>
    <r>
      <rPr>
        <sz val="10"/>
        <rFont val="Arial"/>
        <family val="2"/>
      </rPr>
      <t>. Prairie Agricultural Machine Institute.</t>
    </r>
  </si>
  <si>
    <r>
      <t xml:space="preserve">McLaughlin, S. </t>
    </r>
    <r>
      <rPr>
        <i/>
        <sz val="10"/>
        <rFont val="Arial"/>
        <family val="2"/>
      </rPr>
      <t>et al</t>
    </r>
    <r>
      <rPr>
        <sz val="10"/>
        <rFont val="Arial"/>
        <family val="2"/>
      </rPr>
      <t xml:space="preserve">. 1999. </t>
    </r>
    <r>
      <rPr>
        <i/>
        <sz val="10"/>
        <rFont val="Arial"/>
        <family val="2"/>
      </rPr>
      <t>Developing Switchgrass as a Bioenergy Crop</t>
    </r>
    <r>
      <rPr>
        <sz val="10"/>
        <rFont val="Arial"/>
        <family val="2"/>
      </rPr>
      <t>. InPerspectives in New Crops and New Uses. J. Janick (ed), ASHS Press, Alexandria, Virginia.</t>
    </r>
  </si>
  <si>
    <r>
      <t xml:space="preserve">Stanturf, J. </t>
    </r>
    <r>
      <rPr>
        <i/>
        <sz val="10"/>
        <rFont val="Arial"/>
        <family val="2"/>
      </rPr>
      <t>et al</t>
    </r>
    <r>
      <rPr>
        <sz val="10"/>
        <rFont val="Arial"/>
        <family val="2"/>
      </rPr>
      <t xml:space="preserve">. 2001. </t>
    </r>
    <r>
      <rPr>
        <i/>
        <sz val="10"/>
        <rFont val="Arial"/>
        <family val="2"/>
      </rPr>
      <t>Chapter 5: Ecology and Silviculture of Poplar Plantations</t>
    </r>
    <r>
      <rPr>
        <sz val="10"/>
        <rFont val="Arial"/>
        <family val="2"/>
      </rPr>
      <t>. In Poplar Culture in North America. Dickmann D., Isebrands J., Eckenwalder J., Richardson J., eds. NRC Research Press, pp. 153-206.</t>
    </r>
  </si>
  <si>
    <r>
      <t xml:space="preserve">Ney, R., and Schnoor, J. 2002. </t>
    </r>
    <r>
      <rPr>
        <i/>
        <sz val="10"/>
        <rFont val="Arial"/>
        <family val="2"/>
      </rPr>
      <t>Greenhouse gas emission impacts of substituting switchgrass for coal in electric generation: the Chariton Valley Biomass Project</t>
    </r>
    <r>
      <rPr>
        <sz val="10"/>
        <rFont val="Arial"/>
        <family val="2"/>
      </rPr>
      <t>. Center for Global and Regional Environmental Research.  May 20, 2002.</t>
    </r>
  </si>
  <si>
    <r>
      <t xml:space="preserve">Pimentel, D. and Patzek, W. 2005. "Ethanol production using corn, switchgrass, and wood; biodiesel production using soybean and sunflower." </t>
    </r>
    <r>
      <rPr>
        <i/>
        <sz val="10"/>
        <rFont val="Arial"/>
        <family val="2"/>
      </rPr>
      <t>Natural Resources Research</t>
    </r>
    <r>
      <rPr>
        <sz val="10"/>
        <rFont val="Arial"/>
        <family val="2"/>
      </rPr>
      <t xml:space="preserve"> 14(1): 65-76.</t>
    </r>
  </si>
  <si>
    <r>
      <t xml:space="preserve">Department of Conservation. 2009. </t>
    </r>
    <r>
      <rPr>
        <i/>
        <sz val="10"/>
        <rFont val="Arial"/>
        <family val="2"/>
      </rPr>
      <t>U.S. Midwest Average Rainfall, 1971-2000</t>
    </r>
    <r>
      <rPr>
        <sz val="10"/>
        <rFont val="Arial"/>
        <family val="2"/>
      </rPr>
      <t>. U.S. Department of Conservation. www.ncdc.noaa.gov/oa/climate/online/ccd/nrmpcp.txt (Accessed February 5, 2010).</t>
    </r>
  </si>
  <si>
    <t>www.ncdc.noaa.gov/oa/climate/online/ccd/nrmpcp.txt</t>
  </si>
  <si>
    <r>
      <t xml:space="preserve">Brown, R. </t>
    </r>
    <r>
      <rPr>
        <i/>
        <sz val="10"/>
        <rFont val="Arial"/>
        <family val="2"/>
      </rPr>
      <t>et al</t>
    </r>
    <r>
      <rPr>
        <sz val="10"/>
        <rFont val="Arial"/>
        <family val="2"/>
      </rPr>
      <t xml:space="preserve">. 2000. "Potential production and environmental effects of switchgrass and traditional crops under current and greenhouse-altered climate in the central United States: a simulation study." </t>
    </r>
    <r>
      <rPr>
        <i/>
        <sz val="10"/>
        <rFont val="Arial"/>
        <family val="2"/>
      </rPr>
      <t>Agriculture, Ecosystems, and Environment</t>
    </r>
    <r>
      <rPr>
        <sz val="10"/>
        <rFont val="Arial"/>
        <family val="2"/>
      </rPr>
      <t xml:space="preserve"> 78:31-47.</t>
    </r>
  </si>
  <si>
    <r>
      <t xml:space="preserve">Mallarino, A. </t>
    </r>
    <r>
      <rPr>
        <i/>
        <sz val="10"/>
        <rFont val="Arial"/>
        <family val="2"/>
      </rPr>
      <t>et al</t>
    </r>
    <r>
      <rPr>
        <sz val="10"/>
        <rFont val="Arial"/>
        <family val="2"/>
      </rPr>
      <t xml:space="preserve">. 2009. </t>
    </r>
    <r>
      <rPr>
        <i/>
        <sz val="10"/>
        <rFont val="Arial"/>
        <family val="2"/>
      </rPr>
      <t>Biomass Harvest and Nutrient N-P Management Impacts on Nutrient Loss From Fields</t>
    </r>
    <r>
      <rPr>
        <sz val="10"/>
        <rFont val="Arial"/>
        <family val="2"/>
      </rPr>
      <t>. Department of Agronomy and Agricultural and Biosystems Engineering, Iowa State University. Presentation.</t>
    </r>
  </si>
  <si>
    <t>Iowa State University</t>
  </si>
  <si>
    <t>Michigan State University</t>
  </si>
  <si>
    <r>
      <t xml:space="preserve">Miller, R. and B. Bender. 2008. </t>
    </r>
    <r>
      <rPr>
        <i/>
        <sz val="10"/>
        <rFont val="Arial"/>
        <family val="2"/>
      </rPr>
      <t>Growth and Yield of Willow and Poplar Hybrids in the Central Upper Peninsula of Michigan</t>
    </r>
    <r>
      <rPr>
        <sz val="10"/>
        <rFont val="Arial"/>
        <family val="2"/>
      </rPr>
      <t>. Michigan State University. August, 2008.</t>
    </r>
  </si>
  <si>
    <r>
      <t xml:space="preserve">Stolarski, M. 2008. "Content of Carbon, Hydrogen, and Sulphur in Biomass of Some Shrub Willow Species." </t>
    </r>
    <r>
      <rPr>
        <i/>
        <sz val="10"/>
        <rFont val="Arial"/>
        <family val="2"/>
      </rPr>
      <t>Journal of Elementology</t>
    </r>
    <r>
      <rPr>
        <sz val="10"/>
        <rFont val="Arial"/>
        <family val="2"/>
      </rPr>
      <t xml:space="preserve"> 13(4):655-663.</t>
    </r>
  </si>
  <si>
    <t>Total biomass required to produce one liter of diesel</t>
  </si>
  <si>
    <t>2. Biomass Feed Rate</t>
  </si>
  <si>
    <t>liters</t>
  </si>
  <si>
    <t>Reference [23], pg 9</t>
  </si>
  <si>
    <t>Reference [8]</t>
  </si>
  <si>
    <t xml:space="preserve">This unit process is assembled in-line with the harvesting operations unit process; therefore the reference flow assumed to be biomass operation. </t>
  </si>
  <si>
    <t xml:space="preserve">[kg/acre-study period] Amount of biomass produced over the study period; see Assumption [13]. </t>
  </si>
  <si>
    <t>Assumption [12]</t>
  </si>
  <si>
    <t>Assumption [13]</t>
  </si>
  <si>
    <t>Assumption [4]</t>
  </si>
  <si>
    <t>Assumption [5]</t>
  </si>
  <si>
    <t>Reference [11], pg 24, Assumption [1]</t>
  </si>
  <si>
    <t>Calculated, Assumption [1]</t>
  </si>
  <si>
    <t>Reference [16], Assumption [7]</t>
  </si>
  <si>
    <t>Assumption [11]</t>
  </si>
  <si>
    <t>Assumes that cultivation would require two passes with indicated equipment.</t>
  </si>
  <si>
    <t>EPA Tier 4 Standard.</t>
  </si>
  <si>
    <t>Assumes 5-year crop rotation. Literature estimates for crop rotation times vary 2-10 years, but 5 years is consistent with most. studies</t>
  </si>
  <si>
    <t>Data not available that indicate typical planting speeds. It is assumed that planting speed would be slightly slower than planting switchgrass, since the tree planters are only semi-automated (require a person to sit inside and perform the planting).</t>
  </si>
  <si>
    <t>Study period assumed to be 30 years.</t>
  </si>
  <si>
    <t>kg of N forming N2O/kg biomass</t>
  </si>
  <si>
    <t>Mols of N/kg biomass</t>
  </si>
  <si>
    <t>Mols of N2O/kg biomass</t>
  </si>
  <si>
    <t>Total irrigation water needed</t>
  </si>
  <si>
    <t>m3/acre-yr</t>
  </si>
  <si>
    <t>kg-N/acre</t>
  </si>
  <si>
    <t>kg-P/acre</t>
  </si>
  <si>
    <t>kg-N/kg biomass</t>
  </si>
  <si>
    <t>kg-P/kg biomass</t>
  </si>
  <si>
    <t>Cradle-to-Gate (CG)</t>
  </si>
  <si>
    <t xml:space="preserve">Reference [21] </t>
  </si>
  <si>
    <t xml:space="preserve">Assumes that each 5-year cultivation period would require 1 pass with the tractor+seeder, 2 passes with tractor+tiller. </t>
  </si>
  <si>
    <r>
      <t>Herbicide Use (</t>
    </r>
    <r>
      <rPr>
        <sz val="10"/>
        <rFont val="Arial"/>
        <family val="2"/>
      </rPr>
      <t>Diuron)  [Inorganic intermediate products]</t>
    </r>
  </si>
  <si>
    <t>NETL Life Cycle Inventory Data - Detailed Spreadsheet Documentation</t>
  </si>
  <si>
    <t>Southern Pine Biomass Cultivation, Operation</t>
  </si>
  <si>
    <t>Note: Some conversion factors are hard-keyed into calculations</t>
  </si>
  <si>
    <t>SRWC Yield per Acre</t>
  </si>
  <si>
    <t>Notes</t>
  </si>
  <si>
    <t>yield per acre, per year</t>
  </si>
  <si>
    <t>See data and calculations below.</t>
  </si>
  <si>
    <t>Harvest Frequency</t>
  </si>
  <si>
    <t>Assumption [6]</t>
  </si>
  <si>
    <t>yield per acre over study period</t>
  </si>
  <si>
    <t>kg/acre-30yr; 13 year harvest rotation</t>
  </si>
  <si>
    <t>Southern Pines Yield Data Compilation</t>
  </si>
  <si>
    <t>Green Tons per Acre</t>
  </si>
  <si>
    <t>Dry Tons per Acre</t>
  </si>
  <si>
    <t>http://www.gabioenergy.org/ppt/McClure--Forest%20Biomass%20as%20a%20Feedstock%20for%20Energy%20Production.pdf</t>
  </si>
  <si>
    <t>page 21</t>
  </si>
  <si>
    <t>Loblolly Pine</t>
  </si>
  <si>
    <t>Slash Pine</t>
  </si>
  <si>
    <t>weed control and fertilization</t>
  </si>
  <si>
    <t>http://www.apsaf.org/meetings/apsaf-2011/ppt/Fox-ApSAF-2011-Growth_Potential_of_Plantations_in_the_South.pdf</t>
  </si>
  <si>
    <t>page 22</t>
  </si>
  <si>
    <t>Pinus taeda (loblolly pine)</t>
  </si>
  <si>
    <t xml:space="preserve"> @13 year harvest with fertilizer and weed control</t>
  </si>
  <si>
    <t>http://forestproductivity.com/sitefactors/soils/nutrient_management_southern_pines.pdf</t>
  </si>
  <si>
    <t>page 7</t>
  </si>
  <si>
    <t>Pinus elliottii</t>
  </si>
  <si>
    <t>3.3 to 3.8</t>
  </si>
  <si>
    <t>site prep plus weed control no fertilizer</t>
  </si>
  <si>
    <t>http://www1.eere.energy.gov/biomass/pdfs/billion_ton_update.pdf</t>
  </si>
  <si>
    <t>page 116</t>
  </si>
  <si>
    <t>3.6 to 5.2</t>
  </si>
  <si>
    <t>site prep weed control fertilizer</t>
  </si>
  <si>
    <t>5.1 to 7.3</t>
  </si>
  <si>
    <t>above plus high fertilizer</t>
  </si>
  <si>
    <t>5.4 to 8.4</t>
  </si>
  <si>
    <t>optimal conditions</t>
  </si>
  <si>
    <t>6 to 8</t>
  </si>
  <si>
    <t>industry predicted based on higher intesnity management</t>
  </si>
  <si>
    <t>Loblolly Pine, low</t>
  </si>
  <si>
    <t>dry MG/ha-yr</t>
  </si>
  <si>
    <t>http://www.ornl.gov/sci/ees/cbes/Publications/Kline_Coleman_%20Woody%20energy%20crops%20in%20the%20southeastern%20United%20States%20Two%20centuries%20of%20practitioner%20experience.pdf</t>
  </si>
  <si>
    <t>page 1658</t>
  </si>
  <si>
    <t>Loblolly Pine, average</t>
  </si>
  <si>
    <t>Loblolly Pine, high yield est</t>
  </si>
  <si>
    <t>Dry Tons/Acre, kg/acre-year</t>
  </si>
  <si>
    <t>Min</t>
  </si>
  <si>
    <t>Max</t>
  </si>
  <si>
    <t>Best Estimate</t>
  </si>
  <si>
    <t>Diesel and Electricity Consumption</t>
  </si>
  <si>
    <t>OLD CALCULATIONS TO BE DELETED</t>
  </si>
  <si>
    <t>Proportion Diesel</t>
  </si>
  <si>
    <t>Proportion Electricity</t>
  </si>
  <si>
    <t>Total Energy Use, Nominal</t>
  </si>
  <si>
    <t>Total Energy Use, Min</t>
  </si>
  <si>
    <t>Total Energy Use, Max</t>
  </si>
  <si>
    <t>Cube Model, based on Greet - see notes in Farming Energy Sources object, under Production/Farming; Greet shows general woody biomass.</t>
  </si>
  <si>
    <t>btu/acre-year</t>
  </si>
  <si>
    <t>Diesel use, Nominal</t>
  </si>
  <si>
    <t>Diesel use, Min</t>
  </si>
  <si>
    <t>Diesel use, Max</t>
  </si>
  <si>
    <t>Electricity use, nominal</t>
  </si>
  <si>
    <t>Electricity use, min</t>
  </si>
  <si>
    <t>Electricity use, max</t>
  </si>
  <si>
    <t>gallon diesel</t>
  </si>
  <si>
    <t>Btu</t>
  </si>
  <si>
    <t>gallon</t>
  </si>
  <si>
    <t>watthours</t>
  </si>
  <si>
    <t>kWh</t>
  </si>
  <si>
    <t>kWh/acre-year</t>
  </si>
  <si>
    <t>Cube Model, Poplar Energy Use Parameters module</t>
  </si>
  <si>
    <t>L/acre-year</t>
  </si>
  <si>
    <t>[kg/kg biomass] Amount of CO2 uptake per kg biomass harvested - mass of CO2 incorporated into harvested biomass. Does not account for soil or root carbon.</t>
  </si>
  <si>
    <t>Elec_acre</t>
  </si>
  <si>
    <t>kWh/acre-yr</t>
  </si>
  <si>
    <t>[kWh/acre-yr] Amount of electricity used per acre per year for SRWC production.</t>
  </si>
  <si>
    <t>Elec_kg</t>
  </si>
  <si>
    <t>kWh/kg biomass</t>
  </si>
  <si>
    <t>[kWh/kg biomass] Amount of electricity used per kg of SRWC Biomass.</t>
  </si>
  <si>
    <t>Electricity [Electricity]</t>
  </si>
  <si>
    <t>[Technosphere] Amount of electricity required to produce 1 kg of biomass ready for transport.</t>
  </si>
  <si>
    <t>Based on Loblolly Pine</t>
  </si>
  <si>
    <t>Total N Fertilizer</t>
  </si>
  <si>
    <t>N Fertilizer at Planting</t>
  </si>
  <si>
    <t>N Fertilizer at Canopy Closure</t>
  </si>
  <si>
    <t>P Fertilizer at Planting</t>
  </si>
  <si>
    <t>P Fertilizer at Canopy Closure</t>
  </si>
  <si>
    <t>Total P Fertilizer</t>
  </si>
  <si>
    <t>K Fertilizer at Planting</t>
  </si>
  <si>
    <t>K Fertilizer at Canopy Closure</t>
  </si>
  <si>
    <t>Total K Fertilizer</t>
  </si>
  <si>
    <t>lb N/acre - planting cycle</t>
  </si>
  <si>
    <t>lb P/acre - planting cycle</t>
  </si>
  <si>
    <t>lb K/acre - planting cycle</t>
  </si>
  <si>
    <t>kg/acre-rotation</t>
  </si>
  <si>
    <t>Biomass_Rot</t>
  </si>
  <si>
    <t>[years] Adjustable parameter; rotation period for Southern pine biomass. Assumption [6].</t>
  </si>
  <si>
    <t>Biomass_yield_r</t>
  </si>
  <si>
    <t>Fertilizer_N/Biomass_yield_r</t>
  </si>
  <si>
    <t>Fertilizer_P/Biomass_yield_r</t>
  </si>
  <si>
    <t>Fertilizer_K/Biomass_yield_r</t>
  </si>
  <si>
    <t>Various herbicide suites can be used, and these are dependent upon local site characteristics. This process assumes use of atrazine, because upstream (production) environmental burdens are available for atrazine, as are published values for atrazine application to southern pine biomass. In reality, various herbicides would be used.</t>
  </si>
  <si>
    <t>Assumption [14]</t>
  </si>
  <si>
    <t>http://www.clemson.edu/extfor/herbicide%20prescription%20manual/herbicidemanual.htm</t>
  </si>
  <si>
    <t>Atrazine use</t>
  </si>
  <si>
    <t>lbs/acre</t>
  </si>
  <si>
    <t>[kg/kg biomass] Calculated mass of herbicide (atrazine) applied per kg biomass produced; Assumption [14].</t>
  </si>
  <si>
    <t>Biomass Operation</t>
  </si>
  <si>
    <t>FertN2Orate</t>
  </si>
  <si>
    <t>[unitless]</t>
  </si>
  <si>
    <t>[unitless] Proportion of N fertilizer released directly plus indirectly as N2O, including emissions from water.</t>
  </si>
  <si>
    <t>[kg/acre] Adjustable Parameter; amount of N applied via fertilizer per rotation, per acre.</t>
  </si>
  <si>
    <t>[kg/acre] Adjustable Parameter; amount of P applied via fertilizer per rotation, per acre.</t>
  </si>
  <si>
    <t>[kg/acre] Adjustable Parameter; amount of K applied via fertilizer per rotation, per acre.</t>
  </si>
  <si>
    <t>percent (w/w); dry basis</t>
  </si>
  <si>
    <t>1 kg SRWC Biomass contains</t>
  </si>
  <si>
    <t>kg C/kg SRWC (dry)</t>
  </si>
  <si>
    <t>NOBLIS MODEL CONSTANTS WORKSHEET; As Received @ 43.3% moisture = 30.55% C</t>
  </si>
  <si>
    <t>This corresponds to dry biomass (0% moisture)</t>
  </si>
  <si>
    <t>Harvested Moisture Content</t>
  </si>
  <si>
    <t>percent of biomass that is water</t>
  </si>
  <si>
    <t>SRWC CO2 Uptake (as harvested at 50% moisture)</t>
  </si>
  <si>
    <t>Estimate of mercury emission from gasoline and diesel fuel consumption, San Francisco Bay area, California.</t>
  </si>
  <si>
    <t>Development and Selection of Ammonia Emission Factors, Final Report</t>
  </si>
  <si>
    <t>Conaway, C.H.</t>
  </si>
  <si>
    <t>Battye, R.</t>
  </si>
  <si>
    <t>Mason, R.P., Steding, D.J., Flegal, A.R.</t>
  </si>
  <si>
    <t>Battye, W., Overcash, C., Fudge, S.</t>
  </si>
  <si>
    <t>1994</t>
  </si>
  <si>
    <t>August, 1994</t>
  </si>
  <si>
    <t>Elsevier/Science Direct</t>
  </si>
  <si>
    <t>Washington, DC</t>
  </si>
  <si>
    <t>104 (PDF page 4)</t>
  </si>
  <si>
    <t>PDF page 74</t>
  </si>
  <si>
    <t>Table 2</t>
  </si>
  <si>
    <t>Table 5-6</t>
  </si>
  <si>
    <t>Atmospheric Environment</t>
  </si>
  <si>
    <t>39</t>
  </si>
  <si>
    <t>http://www.sciencedirect.com/science?_ob=MImg&amp;_imagekey=B6VH3-4DPC3KY-2-1&amp;_cdi=6055&amp;_user=2638189&amp;_orig=search&amp;_coverDate=01%2F01%2F2005&amp;_sk=999609998&amp;view=c&amp;wchp=dGLbVzb-zSkWA&amp;md5=08247b48f4834470afb239b4a93b0efd&amp;ie=/sdarticle.pdf</t>
  </si>
  <si>
    <t>http://www.epa.gov/ttn/chief/old/efdocs/ammonia.pdf</t>
  </si>
  <si>
    <t xml:space="preserve">US </t>
  </si>
  <si>
    <t>Conaway, C.H., Mason, R.P., Steding, D.J., Flegal, A.R. 2005. "Estimate of mercury emission from gasoline and diesel consumption, San Francisco Bay area, California."  Atmospheric Environment 39:101-105. http://www.sciencedirect.com/science?_ob=MImg&amp;_imagekey=B6VH3-4DPC3KY-2-1&amp;_cdi=6055&amp;_user=2638189&amp;_orig=search&amp;_coverDate=01%2F01%2F2005&amp;_sk=999609998&amp;view=c&amp;wchp=dGLbVzb-zSkWA&amp;md5=08247b48f4834470afb239b4a93b0efd&amp;ie=/sdarticle.pdf (Accessed December 16, 2009).</t>
  </si>
  <si>
    <t>Battye R., Battye, W., Overcash, C., Fudge, S. 1994. Development and Selection of Ammonia Emissions Factors, Final Report. US Environmental Protection Agency, Washington, D.C. http://www.epa.gov/ttn/chief/old/efdocs/ammonia.pdf (Accessed December 16, 2009).</t>
  </si>
  <si>
    <t>Mercury concentration in gasoline and diesel from Table 2, page 104 (PDF page 4)</t>
  </si>
  <si>
    <t>11/18/2010</t>
  </si>
  <si>
    <t>US DOE</t>
  </si>
  <si>
    <t>184 (pdf pg 188)</t>
  </si>
  <si>
    <t>OMB No. 1905-0194</t>
  </si>
  <si>
    <t>http://www.eia.gov/oiaf/1605/pdf/Form%20EIA-1605%20Instructions.pdf</t>
  </si>
  <si>
    <t>Table 7</t>
  </si>
  <si>
    <t>Year Data Represents</t>
  </si>
  <si>
    <t>Geographical Representation</t>
  </si>
  <si>
    <t>Representativeness</t>
  </si>
  <si>
    <t>BibliographicText</t>
  </si>
  <si>
    <t>Text/Description</t>
  </si>
  <si>
    <t>Data Type (Origin)</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</si>
  <si>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</si>
  <si>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</si>
  <si>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</si>
  <si>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</si>
  <si>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</si>
  <si>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</si>
  <si>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</si>
  <si>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</si>
  <si>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</si>
  <si>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</si>
  <si>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</si>
  <si>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</si>
  <si>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</si>
  <si>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</si>
  <si>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</si>
  <si>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</si>
  <si>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</si>
  <si>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</si>
  <si>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</si>
  <si>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</si>
  <si>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</si>
  <si>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</si>
  <si>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</si>
  <si>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</si>
  <si>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</si>
  <si>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</si>
  <si>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</si>
  <si>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</si>
  <si>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</si>
  <si>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</si>
  <si>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</si>
  <si>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</si>
  <si>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</si>
  <si>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</si>
  <si>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</si>
  <si>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</si>
  <si>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</si>
  <si>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</si>
  <si>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</si>
  <si>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</si>
  <si>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</si>
  <si>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</si>
  <si>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</si>
  <si>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</si>
  <si>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</si>
  <si>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</si>
  <si>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</si>
  <si>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</si>
  <si>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</si>
  <si>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</si>
  <si>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</si>
  <si>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</si>
  <si>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</si>
  <si>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</si>
  <si>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</si>
  <si>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</si>
  <si>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</si>
  <si>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</si>
  <si>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</si>
  <si>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</si>
  <si>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</si>
  <si>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</si>
  <si>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</si>
  <si>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</si>
  <si>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</si>
  <si>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</si>
  <si>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</si>
  <si>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</si>
  <si>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</si>
  <si>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</si>
  <si>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</si>
  <si>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</si>
  <si>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</si>
  <si>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</si>
  <si>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</si>
  <si>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</si>
  <si>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</si>
  <si>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</si>
  <si>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</si>
  <si>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</si>
  <si>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</si>
  <si>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</si>
  <si>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</si>
  <si>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</si>
  <si>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kg</t>
  </si>
  <si>
    <t>Indicator</t>
  </si>
  <si>
    <t>Score</t>
  </si>
  <si>
    <t>Source Reliability</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</si>
  <si>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</si>
  <si>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</si>
  <si>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</si>
  <si>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</si>
  <si>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</si>
  <si>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</si>
  <si>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</si>
  <si>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</si>
  <si>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no data available for cross check</t>
  </si>
  <si>
    <t xml:space="preserve">representative data from a sufficient sample of sites over an adequate period of time </t>
  </si>
  <si>
    <t>smaller number of sites and shorter periods or incomplete data from an adequate number of sites or periods</t>
  </si>
  <si>
    <t>representativeness unknown or incomplete data sets</t>
  </si>
  <si>
    <t>Temporal Correlation</t>
  </si>
  <si>
    <t>less than 6 years of difference</t>
  </si>
  <si>
    <t>Geographical Correlation</t>
  </si>
  <si>
    <t>data from area under study</t>
  </si>
  <si>
    <t>data from area with similar production conditions</t>
  </si>
  <si>
    <t>data from area with slightly similar production conditions</t>
  </si>
  <si>
    <t>data from unknown area or area with very different production conditions</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</si>
  <si>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</si>
  <si>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</si>
  <si>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</si>
  <si>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</si>
  <si>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t>DQI</t>
  </si>
  <si>
    <t>Technical Correlation</t>
  </si>
  <si>
    <t>average data from larger area or specific data from a close area</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</si>
  <si>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</si>
  <si>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</si>
  <si>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</si>
  <si>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DQI determination</t>
  </si>
  <si>
    <t>Recommendations</t>
  </si>
  <si>
    <t>Determinations</t>
  </si>
  <si>
    <t>lb</t>
  </si>
  <si>
    <t>DS Sheet Information</t>
  </si>
  <si>
    <t xml:space="preserve">Process Name: </t>
  </si>
  <si>
    <t xml:space="preserve">Process Description: </t>
  </si>
  <si>
    <t xml:space="preserve">Files: </t>
  </si>
  <si>
    <t>Summary and Calculations Worksheets:</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</si>
  <si>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</si>
  <si>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</si>
  <si>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</si>
  <si>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</si>
  <si>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</si>
  <si>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</si>
  <si>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</si>
  <si>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</si>
  <si>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</si>
  <si>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</si>
  <si>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</si>
  <si>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</si>
  <si>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</si>
  <si>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</si>
  <si>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</si>
  <si>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</si>
  <si>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</si>
  <si>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</si>
  <si>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</si>
  <si>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</si>
  <si>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</si>
  <si>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</si>
  <si>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US</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</si>
  <si>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</si>
  <si>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</si>
  <si>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</si>
  <si>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Auxiliary Process (AP)</t>
  </si>
  <si>
    <t>Website Last Accessed</t>
  </si>
  <si>
    <t>Input/Output</t>
  </si>
  <si>
    <t>Requirements met</t>
  </si>
  <si>
    <t>OK</t>
  </si>
  <si>
    <t>DQI Methodology</t>
  </si>
  <si>
    <t>DQI Matrix (from NETL LCI&amp;C Guideline Document, adapted from Weidema and Wenaes)</t>
  </si>
  <si>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</si>
  <si>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</si>
  <si>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</si>
  <si>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</si>
  <si>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</si>
  <si>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</si>
  <si>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</si>
  <si>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Conversion Factors</t>
  </si>
  <si>
    <t>Assumption #</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</si>
  <si>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</si>
  <si>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r>
      <t>Source Reliability</t>
    </r>
    <r>
      <rPr>
        <b/>
        <i/>
        <sz val="10"/>
        <rFont val="Arial"/>
        <family val="2"/>
      </rPr>
      <t xml:space="preserve"> (for most applications, source quality guidelines are only factor)</t>
    </r>
  </si>
  <si>
    <t>2 or fewer data sources available for cross check, or data sources available that do not meet quality standards</t>
  </si>
  <si>
    <t>smaller number of sites, but an adequate period of time</t>
  </si>
  <si>
    <t>sufficient number of sites, but a less adequate period of time</t>
  </si>
  <si>
    <t>less than 3 years of difference to year of study/current year</t>
  </si>
  <si>
    <t>less than 10 years of difference</t>
  </si>
  <si>
    <t>less than 15 years of difference</t>
  </si>
  <si>
    <t>age of data unknown or more than 15 years of difference</t>
  </si>
  <si>
    <t>data from technology, process, or materials being studied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</si>
  <si>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</si>
  <si>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</si>
  <si>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</si>
  <si>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</si>
  <si>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</si>
  <si>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</si>
  <si>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</si>
  <si>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</si>
  <si>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</si>
  <si>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</si>
  <si>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</si>
  <si>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</si>
  <si>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</si>
  <si>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</si>
  <si>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</si>
  <si>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</si>
  <si>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Reference (Reference Source Info worksheet)</t>
  </si>
  <si>
    <t>kg/acre</t>
  </si>
  <si>
    <t>Diesel_acre_y</t>
  </si>
  <si>
    <t>L/acre</t>
  </si>
  <si>
    <t>Diesel_kg</t>
  </si>
  <si>
    <t>L/kg biomass</t>
  </si>
  <si>
    <t>Diesel_kgL</t>
  </si>
  <si>
    <t>kg diesel/L diesel</t>
  </si>
  <si>
    <t>Diesel_use</t>
  </si>
  <si>
    <t>Diesel_kg*Diesel_kgL</t>
  </si>
  <si>
    <t>kg diesel/kg biomass</t>
  </si>
  <si>
    <t>EF_PMfd</t>
  </si>
  <si>
    <t>kg/kg biomass</t>
  </si>
  <si>
    <t>Instructions for Form EIA-1605, Voluntary Reporting of Greenhouse Gases, Appendix H</t>
  </si>
  <si>
    <t>WRAP Fugitive Dust Handbook</t>
  </si>
  <si>
    <t>Separate Publication</t>
  </si>
  <si>
    <t>US Department of Energy</t>
  </si>
  <si>
    <t>Western Regional Air Partnership</t>
  </si>
  <si>
    <t>2004</t>
  </si>
  <si>
    <t>Washington, D.C.</t>
  </si>
  <si>
    <t>Denver, CO</t>
  </si>
  <si>
    <t>US Average</t>
  </si>
  <si>
    <t>Item</t>
  </si>
  <si>
    <t>MW of N2O</t>
  </si>
  <si>
    <t>MW of N</t>
  </si>
  <si>
    <t>gram</t>
  </si>
  <si>
    <t>inches</t>
  </si>
  <si>
    <t>mph</t>
  </si>
  <si>
    <t>acres/hour</t>
  </si>
  <si>
    <t>L diesel/acre-year</t>
  </si>
  <si>
    <t>ft</t>
  </si>
  <si>
    <t>Gallons of fuel used per acre coverage</t>
  </si>
  <si>
    <t>Reference</t>
  </si>
  <si>
    <t>Diesel fuel density</t>
  </si>
  <si>
    <t>kg/gal</t>
  </si>
  <si>
    <t>Pollutant</t>
  </si>
  <si>
    <t>n/a</t>
  </si>
  <si>
    <t>Pound</t>
  </si>
  <si>
    <t>grams</t>
  </si>
  <si>
    <t>US gallon</t>
  </si>
  <si>
    <t>lb/gal</t>
  </si>
  <si>
    <t>gal</t>
  </si>
  <si>
    <t>Fugitive Dust Emissions</t>
  </si>
  <si>
    <t>PM emissions in lbs per acre-pass</t>
  </si>
  <si>
    <t>PM emissions in kg per acre, for tractor with disc tiller, PER PLANTING</t>
  </si>
  <si>
    <t>PM emissions per kg of biomass produced</t>
  </si>
  <si>
    <t>Activity</t>
  </si>
  <si>
    <t>Emission Factor</t>
  </si>
  <si>
    <t>Discing, Tilling, Chiseling</t>
  </si>
  <si>
    <t>PM-10</t>
  </si>
  <si>
    <t>lbs/acre-pass</t>
  </si>
  <si>
    <t>Land Planting and Floating</t>
  </si>
  <si>
    <t>US Midwest</t>
  </si>
  <si>
    <t>kg/acre-year</t>
  </si>
  <si>
    <t>Biomass_yield_y</t>
  </si>
  <si>
    <t>Herbicide_acre</t>
  </si>
  <si>
    <t>Herbicide_kg</t>
  </si>
  <si>
    <t>Fertilizer_N</t>
  </si>
  <si>
    <t>Fertilizer_P</t>
  </si>
  <si>
    <t>Fertilizer_K</t>
  </si>
  <si>
    <t>Fert_N_kg</t>
  </si>
  <si>
    <t>Fert_P_kg</t>
  </si>
  <si>
    <t>Fert_K_kg</t>
  </si>
  <si>
    <t>W_ground</t>
  </si>
  <si>
    <t>W_surface</t>
  </si>
  <si>
    <t>W_storm</t>
  </si>
  <si>
    <t>W_runoff</t>
  </si>
  <si>
    <t>W_ground_kg</t>
  </si>
  <si>
    <t>W_surface_kg</t>
  </si>
  <si>
    <t>W_storm_kg</t>
  </si>
  <si>
    <t>W_runoff_kg</t>
  </si>
  <si>
    <t>EW_N_acre</t>
  </si>
  <si>
    <t>EW_P_acre</t>
  </si>
  <si>
    <t>EW_N</t>
  </si>
  <si>
    <t>EW_P</t>
  </si>
  <si>
    <t>N Fertilizer [Inorganic intermediate products]</t>
  </si>
  <si>
    <t>P Fertilizer  [Inorganic intermediate products]</t>
  </si>
  <si>
    <t>K Fertilizer  [Inorganic intermediate products]</t>
  </si>
  <si>
    <t>Water (ground water) [Water]</t>
  </si>
  <si>
    <t>L</t>
  </si>
  <si>
    <t>Water (surface water) [Water]</t>
  </si>
  <si>
    <t>Water (storm) [Water]</t>
  </si>
  <si>
    <t>Biomass Operation [Installation]</t>
  </si>
  <si>
    <t>Nitrogen [Inorganic emissions to fresh water]</t>
  </si>
  <si>
    <t>Phosphorus [Inorganic emissions to fresh water]</t>
  </si>
  <si>
    <t>Water (storm runoff) [Water]</t>
  </si>
  <si>
    <t>The abbreviation "kg" is used for the word, "kilogram" in the 'Data Summary' sheet</t>
  </si>
  <si>
    <t>Undefined</t>
  </si>
  <si>
    <t>Article</t>
  </si>
  <si>
    <t>John Deere Model 7830 165 PTO hp (Manufacturer Specifications)</t>
  </si>
  <si>
    <t>John Deere Model 425 Disk Harrow Wheel Type Offset (Manufacturer Specifications)</t>
  </si>
  <si>
    <t>Tillage Calculators</t>
  </si>
  <si>
    <t>Instructions for Form EIA-1605, Voluntary Reporting of Greenhouse Gases</t>
  </si>
  <si>
    <t>Part II: Environmental Protection Agency: 40 CFR Parts 9, 69, et al. Control of Emissions of Air Pollution from Nonroad Diesel Engines and Fuel; Final Rule.</t>
  </si>
  <si>
    <t>Final Environmental Assessment: Proposed Rule 1469.1 - Spraying Operations Using Coatings Containing Chromium.</t>
  </si>
  <si>
    <t>Emission Standards &gt;&gt; United States Stationary Diesel Engines</t>
  </si>
  <si>
    <t>Annex 6 Additional Information</t>
  </si>
  <si>
    <t>Nonroad Diesel Engines</t>
  </si>
  <si>
    <t>Evaluation Report 504: Versatile (1985 Model) 2200 Seed Drill</t>
  </si>
  <si>
    <t>Potential production and environmental effects of switchgrass and traditional crops under current and greenhouse-altered climate in the central United States: a simulation study.</t>
  </si>
  <si>
    <t>Greenhouse gas emission impacts of substituting switchgrass for coal in electric generation: the Chariton Valley Biomass Project. Center for Global and Regional Environmental Research.</t>
  </si>
  <si>
    <t xml:space="preserve">Ethanol production using corn, switchgrass, and wood; biodiesel production using soybean and sunflower. </t>
  </si>
  <si>
    <t>US Midwest Average Rainfall, 1971-2000</t>
  </si>
  <si>
    <t>Biomass Harvest and Nutrient N-P Management Impacts on Nutrient Loss from Fields</t>
  </si>
  <si>
    <t>John Deere</t>
  </si>
  <si>
    <t>Tillage Answers</t>
  </si>
  <si>
    <t>Federal Register</t>
  </si>
  <si>
    <t>South Coast Air Quality Management District</t>
  </si>
  <si>
    <t>DieselNet</t>
  </si>
  <si>
    <t>US EPA</t>
  </si>
  <si>
    <t>Prairie Agricultural Machine Institute (PAMI)</t>
  </si>
  <si>
    <t>Brown, R</t>
  </si>
  <si>
    <t xml:space="preserve">Ney, R. </t>
  </si>
  <si>
    <t xml:space="preserve">Pimentel, D.  </t>
  </si>
  <si>
    <t>US Department of Conservation</t>
  </si>
  <si>
    <t>Mallarino, A.</t>
  </si>
  <si>
    <t>Rosenburg N, Hays C, Easterling W, Mearns L.</t>
  </si>
  <si>
    <t>Schnoor, D.</t>
  </si>
  <si>
    <t>Patzek, W.</t>
  </si>
  <si>
    <t>Helmers, M., Andrews, A., Haq, M., and Pederson, C.</t>
  </si>
  <si>
    <t>2009</t>
  </si>
  <si>
    <t>2007</t>
  </si>
  <si>
    <t>2005</t>
  </si>
  <si>
    <t>1986</t>
  </si>
  <si>
    <t>2000</t>
  </si>
  <si>
    <t>2008</t>
  </si>
  <si>
    <t>2002</t>
  </si>
  <si>
    <t>2009.</t>
  </si>
  <si>
    <t>3/17/2009</t>
  </si>
  <si>
    <t>Internet</t>
  </si>
  <si>
    <t>California</t>
  </si>
  <si>
    <t>Alberta, Canada</t>
  </si>
  <si>
    <t>2011</t>
  </si>
  <si>
    <t>2010</t>
  </si>
  <si>
    <t>1971-2000</t>
  </si>
  <si>
    <t>2001</t>
  </si>
  <si>
    <t>US Regulatory Maximum</t>
  </si>
  <si>
    <t>California Average Diesel Equipment</t>
  </si>
  <si>
    <t>Stationary diesel engines</t>
  </si>
  <si>
    <t>offroad diesel engines</t>
  </si>
  <si>
    <t>Specs for indicated equipment</t>
  </si>
  <si>
    <t>US Trials</t>
  </si>
  <si>
    <t>Iowa</t>
  </si>
  <si>
    <t>Manufacturer specs for the indicated tractor</t>
  </si>
  <si>
    <t>Manufacturer specs for the indicated disk tiller</t>
  </si>
  <si>
    <t>Greenhouse gas emissions report, including standard conversion factors used by the US EPA.</t>
  </si>
  <si>
    <t>gallons per hour</t>
  </si>
  <si>
    <t>feet</t>
  </si>
  <si>
    <t>5 to 6.6</t>
  </si>
  <si>
    <t>miles per hour (mph)</t>
  </si>
  <si>
    <t>gallons diesel/acre-pass</t>
  </si>
  <si>
    <t>Manufacturer fuel use at standard power take-off (PTO) @ 1953 rpm</t>
  </si>
  <si>
    <t>Disk Tiller width</t>
  </si>
  <si>
    <t>15' 8'' Disk Tiller width</t>
  </si>
  <si>
    <t>Tractor operating speed for tilling</t>
  </si>
  <si>
    <t>Average tractor operating speed for tilling</t>
  </si>
  <si>
    <t>Acres of dozer coverage per hour</t>
  </si>
  <si>
    <t>1. Tractor and Disk Tiller</t>
  </si>
  <si>
    <t>3. Total Diesel Use</t>
  </si>
  <si>
    <t>gallons diesel/acre-planting</t>
  </si>
  <si>
    <t>years</t>
  </si>
  <si>
    <t>gallons diesel/acre-Study</t>
  </si>
  <si>
    <t>L diesel/acre-Study Period</t>
  </si>
  <si>
    <t>Replantings</t>
  </si>
  <si>
    <t>PER STUDY PERIOD</t>
  </si>
  <si>
    <t>PER YEAR, AVERAGE</t>
  </si>
  <si>
    <t>Total gallons of diesel fuel used per acre of crop area, PER PLANTING</t>
  </si>
  <si>
    <t>Total gallons of diesel fuel used per acre of crop area, PER STUDY PERIOD</t>
  </si>
  <si>
    <t>mile</t>
  </si>
  <si>
    <t>acre</t>
  </si>
  <si>
    <t>square feet</t>
  </si>
  <si>
    <t>Average</t>
  </si>
  <si>
    <t>bushel of corn, shelled, 15% moisture</t>
  </si>
  <si>
    <t>lbs</t>
  </si>
  <si>
    <t>SO2 emission factor is calculated based on assumption of 15 ppm diesel and stiochiometry, assuming all S in diesel is converted to SO2.</t>
  </si>
  <si>
    <t>Water Emissions</t>
  </si>
  <si>
    <t>Fertilizer</t>
  </si>
  <si>
    <t>Method 1: Get data from a previous study</t>
  </si>
  <si>
    <t>DRAINAGE WATER</t>
  </si>
  <si>
    <t>Nitrogen concentration in drainage</t>
  </si>
  <si>
    <t>P concentration in drainage</t>
  </si>
  <si>
    <t>kg N/ha</t>
  </si>
  <si>
    <t>g P/ha</t>
  </si>
  <si>
    <t xml:space="preserve"> --</t>
  </si>
  <si>
    <t>g/mol N</t>
  </si>
  <si>
    <t>g/mol O</t>
  </si>
  <si>
    <t>g/mol NO3</t>
  </si>
  <si>
    <t>mols NO3/ha</t>
  </si>
  <si>
    <t>kg N/kg biomass</t>
  </si>
  <si>
    <t>kg P/kg Biomass</t>
  </si>
  <si>
    <t>hectare</t>
  </si>
  <si>
    <t>acres</t>
  </si>
  <si>
    <t>Growing Season</t>
  </si>
  <si>
    <t>Month</t>
  </si>
  <si>
    <t>Average Rainfall (inches)</t>
  </si>
  <si>
    <t>average rainfall (mm)</t>
  </si>
  <si>
    <t>Needed for Crop (in)</t>
  </si>
  <si>
    <t>Needed for Crop (mm)</t>
  </si>
  <si>
    <t>City</t>
  </si>
  <si>
    <t>State</t>
  </si>
  <si>
    <t>April</t>
  </si>
  <si>
    <t>May</t>
  </si>
  <si>
    <t>June</t>
  </si>
  <si>
    <t>July</t>
  </si>
  <si>
    <t>August</t>
  </si>
  <si>
    <t>September</t>
  </si>
  <si>
    <t>October</t>
  </si>
  <si>
    <t>Annual</t>
  </si>
  <si>
    <t>x</t>
  </si>
  <si>
    <t>Peoria</t>
  </si>
  <si>
    <t>IL</t>
  </si>
  <si>
    <t>Springfield</t>
  </si>
  <si>
    <t>Fort Wayne</t>
  </si>
  <si>
    <t>IN</t>
  </si>
  <si>
    <t>Indianapolis</t>
  </si>
  <si>
    <t>Dubuque</t>
  </si>
  <si>
    <t>IA</t>
  </si>
  <si>
    <t>Waterloo</t>
  </si>
  <si>
    <t>TOTAL</t>
  </si>
  <si>
    <t>Goodland</t>
  </si>
  <si>
    <t>KS</t>
  </si>
  <si>
    <t>m3/acre</t>
  </si>
  <si>
    <t>Topeka</t>
  </si>
  <si>
    <t>L/acre-yr</t>
  </si>
  <si>
    <t>Norfolk</t>
  </si>
  <si>
    <t>NE</t>
  </si>
  <si>
    <t>AVERAGE</t>
  </si>
  <si>
    <t>MIDWEST</t>
  </si>
  <si>
    <t>mm/yr</t>
  </si>
  <si>
    <t>Mg/ha-yr</t>
  </si>
  <si>
    <t>Farm</t>
  </si>
  <si>
    <t>ET</t>
  </si>
  <si>
    <t>Surface Runoff</t>
  </si>
  <si>
    <t>Soil Erosion</t>
  </si>
  <si>
    <t>Surface Water</t>
  </si>
  <si>
    <t>Groundwater</t>
  </si>
  <si>
    <t>Rainfall</t>
  </si>
  <si>
    <t>Irrigation Water</t>
  </si>
  <si>
    <t>inch</t>
  </si>
  <si>
    <t>mm</t>
  </si>
  <si>
    <t>megagram</t>
  </si>
  <si>
    <t>tonne</t>
  </si>
  <si>
    <t>square meters</t>
  </si>
  <si>
    <t xml:space="preserve">m </t>
  </si>
  <si>
    <t>cubic meter</t>
  </si>
  <si>
    <t>mg</t>
  </si>
  <si>
    <t>ug</t>
  </si>
  <si>
    <t>short ton</t>
  </si>
  <si>
    <t>L of water</t>
  </si>
  <si>
    <t>kg of water</t>
  </si>
  <si>
    <t>MW of O</t>
  </si>
  <si>
    <t>kg of N2O/kg biomass</t>
  </si>
  <si>
    <t>TOTAL FERTILIZER AIR EMISSIONS</t>
  </si>
  <si>
    <t>kg of N2O/acre</t>
  </si>
  <si>
    <t>Chemical</t>
  </si>
  <si>
    <t>Application Rate</t>
  </si>
  <si>
    <t>Carbon Uptake (CO2)</t>
  </si>
  <si>
    <t>L diesel</t>
  </si>
  <si>
    <t>kg diesel</t>
  </si>
  <si>
    <t>1. Irrigation Water (mm)</t>
  </si>
  <si>
    <t>Total water per acre</t>
  </si>
  <si>
    <t>Total water per acre year</t>
  </si>
  <si>
    <t>Total water per kilogram biomass</t>
  </si>
  <si>
    <t>Total runoff water</t>
  </si>
  <si>
    <t>Total runoff water per acre</t>
  </si>
  <si>
    <t>Total runoff water per acre year</t>
  </si>
  <si>
    <t>Total runoff water per kilogram biomass</t>
  </si>
  <si>
    <t>[11]</t>
  </si>
  <si>
    <t>Reference [11], pg 24, Assumption #1</t>
  </si>
  <si>
    <t>[15], [16]</t>
  </si>
  <si>
    <t>Fertilizers  emissions</t>
  </si>
  <si>
    <t>Water consumption</t>
  </si>
  <si>
    <t>Water emission</t>
  </si>
  <si>
    <t>[22]</t>
  </si>
  <si>
    <t>Tonne (matric) fuel</t>
  </si>
  <si>
    <t>L/kg</t>
  </si>
  <si>
    <t>kg/L</t>
  </si>
  <si>
    <t>Reference [20]</t>
  </si>
  <si>
    <t>[14], [18], [19], [20]</t>
  </si>
  <si>
    <t>2, 2, 1, 2, 2</t>
  </si>
  <si>
    <t>2, 2, 2, 2, 2</t>
  </si>
  <si>
    <t>Liter diesel</t>
  </si>
  <si>
    <t>lb diesel</t>
  </si>
  <si>
    <t>Diesel fuel characterizations</t>
  </si>
  <si>
    <r>
      <t xml:space="preserve">John Deere. 2009. </t>
    </r>
    <r>
      <rPr>
        <i/>
        <sz val="10"/>
        <rFont val="Arial"/>
        <family val="2"/>
      </rPr>
      <t>John Deere Model 7830 165 PTO hp (Manufacturer Specifications)</t>
    </r>
    <r>
      <rPr>
        <sz val="10"/>
        <rFont val="Arial"/>
        <family val="2"/>
      </rPr>
      <t>. Deere &amp; Company.</t>
    </r>
  </si>
  <si>
    <r>
      <t xml:space="preserve">John Deere. 2009. </t>
    </r>
    <r>
      <rPr>
        <i/>
        <sz val="10"/>
        <rFont val="Arial"/>
        <family val="2"/>
      </rPr>
      <t>John Deere Model 425 Disk Harrow Wheel Type Offset (Manufacturer Specifications)</t>
    </r>
    <r>
      <rPr>
        <sz val="10"/>
        <rFont val="Arial"/>
        <family val="2"/>
      </rPr>
      <t>. Deere &amp; Company.</t>
    </r>
  </si>
  <si>
    <r>
      <t xml:space="preserve">Tillage Answers. 2009. </t>
    </r>
    <r>
      <rPr>
        <i/>
        <sz val="10"/>
        <rFont val="Arial"/>
        <family val="2"/>
      </rPr>
      <t>Tillage Calculators</t>
    </r>
    <r>
      <rPr>
        <sz val="10"/>
        <rFont val="Arial"/>
        <family val="2"/>
      </rPr>
      <t>. http://www.tillageanswers.com/tandem_calculator.cfm (Accessed December 14, 2009).</t>
    </r>
  </si>
  <si>
    <t>http://www.tillageanswers.com/tandem_calculator.cfm</t>
  </si>
  <si>
    <r>
      <t xml:space="preserve">Federal Register. 2004. </t>
    </r>
    <r>
      <rPr>
        <i/>
        <sz val="10"/>
        <rFont val="Arial"/>
        <family val="2"/>
      </rPr>
      <t>Part II: Environmental Protection Agency: 40 CFR Parts 9, 69, et al. Control of Emissions of Air Pollution from Nonroad Diesel Engines and Fuel; Final Rule</t>
    </r>
    <r>
      <rPr>
        <sz val="10"/>
        <rFont val="Arial"/>
        <family val="2"/>
      </rPr>
      <t>. National Archives and Records Administration.</t>
    </r>
  </si>
  <si>
    <t>Emission to water</t>
  </si>
  <si>
    <t>Emission to air</t>
  </si>
  <si>
    <t>1, 2, 2, 2, 1</t>
  </si>
  <si>
    <t>No</t>
  </si>
  <si>
    <t>Biomass_yield_s</t>
  </si>
  <si>
    <t>Biomass_yield_y*30</t>
  </si>
  <si>
    <t>kg/acre-study period</t>
  </si>
  <si>
    <t>CO2_Uptake</t>
  </si>
  <si>
    <t>Herbicide_acre/Biomass_yield_y</t>
  </si>
  <si>
    <t>18,19</t>
  </si>
  <si>
    <t>W_ground/Biomass_yield_y</t>
  </si>
  <si>
    <t>W_surface/Biomass_yield_y</t>
  </si>
  <si>
    <t>W_storm/Biomass_yield_y</t>
  </si>
  <si>
    <t>W_runoff/Biomass_yield_y</t>
  </si>
  <si>
    <t>EW_N_acre/Biomass_yield_y</t>
  </si>
  <si>
    <t>EW_P_acre/Biomass_yield_y</t>
  </si>
  <si>
    <t xml:space="preserve">This unit process is assembled with Land Preparation operations process in series. </t>
  </si>
  <si>
    <t>Carbon dioxide (biological) [Inorganic emissions to air]</t>
  </si>
  <si>
    <t>Calculations_SRWC</t>
  </si>
  <si>
    <t>Tree Planting from C&amp;G.</t>
  </si>
  <si>
    <t>C&amp;G</t>
  </si>
  <si>
    <t>1998</t>
  </si>
  <si>
    <t>Developing Switchgrass as a Bioenergy Crop</t>
  </si>
  <si>
    <t>McLaughlin, S.</t>
  </si>
  <si>
    <t>J. Bouton, D. Bransby, B. Conger, W. Ocumpaugh, D. Parrish, C. Taliaferro, K. Vogel, and S. Wullschleger</t>
  </si>
  <si>
    <t>1999</t>
  </si>
  <si>
    <t>Alexandria, VA</t>
  </si>
  <si>
    <t>Perspectives on New Crops and New Uses</t>
  </si>
  <si>
    <t>Chapters in Anthology</t>
  </si>
  <si>
    <t>Chapter 5: Ecology and Silviculture of Poplar Plantations</t>
  </si>
  <si>
    <t>Stanturf, J.</t>
  </si>
  <si>
    <t>Oosten, C., Netzer D., Coleman M., Portwood C.</t>
  </si>
  <si>
    <t>Ottowa, Canada</t>
  </si>
  <si>
    <t>NRC Research Press</t>
  </si>
  <si>
    <t>153-206</t>
  </si>
  <si>
    <t>Dickmann D., Isebrands J., Eckenwalder J., Richardson J.</t>
  </si>
  <si>
    <t>Poplar Culture in North America</t>
  </si>
  <si>
    <t>North America</t>
  </si>
  <si>
    <t>US and Canadian Plain States</t>
  </si>
  <si>
    <t>31-47</t>
  </si>
  <si>
    <t>Agriculture, Ecosystems, and Environment</t>
  </si>
  <si>
    <t>78</t>
  </si>
  <si>
    <t>Growth and Yield of Willow and Poplar Hybrids in the Central Upper Peninsula of Michigan</t>
  </si>
  <si>
    <t>Content of Carbon, Hydrogen, and Sulphur in Biomass of Some Shrub Willow Species</t>
  </si>
  <si>
    <t>Miller R</t>
  </si>
  <si>
    <t>Stolarski M.</t>
  </si>
  <si>
    <t>Bender B</t>
  </si>
  <si>
    <t>August, 2008</t>
  </si>
  <si>
    <t>655-663</t>
  </si>
  <si>
    <t>Journal of Elementology</t>
  </si>
  <si>
    <t>13</t>
  </si>
  <si>
    <t>4</t>
  </si>
  <si>
    <t>measured</t>
  </si>
  <si>
    <t>Europe</t>
  </si>
  <si>
    <t>Poland</t>
  </si>
  <si>
    <t>Presentation by indicated authors</t>
  </si>
  <si>
    <t>2. Tractor and Planter</t>
  </si>
  <si>
    <t>Diesel would be consumed by the tractor as it pulls the disk tiller and the planter equipment.</t>
  </si>
  <si>
    <t>Planter width</t>
  </si>
  <si>
    <t>Tractor operating speed for planting</t>
  </si>
  <si>
    <t>Tractor planting speed is assumed to be 4 miles per hour.</t>
  </si>
  <si>
    <t>All calculations are based on a 5-year cycle of replanting. Thus, over a 30 year period, the poplar would be planted 6 times.</t>
  </si>
  <si>
    <t>Assumes that use of the tree planter does not generate relevant levels of dust.</t>
  </si>
  <si>
    <t>Reliable water emissions data are not available. These calculations assume that SRWC would result in similar levels of water pollution as compared to switchgrass.</t>
  </si>
  <si>
    <t>Water use data are available for SRWC cultivation in a desert system, however, it is unlikely that these data would be representative of the Study conditions. Therefore, and because better data are not available for the US Midwest, it is assumed that water use would be the same as for switchgrass production.</t>
  </si>
  <si>
    <r>
      <t>Fertilizer Application Emissions</t>
    </r>
    <r>
      <rPr>
        <sz val="10"/>
        <rFont val="Arial"/>
        <family val="2"/>
      </rPr>
      <t>: It is assumed that 10 percent by weight of applied nitrogen fertilizer volatilizes.  Of that volatized nitrogen fertilizer, it is further assumed that one percent reacts to form N2O.  Of the 90 percent of nitrogen fertilizer that does not volatize, soil processes release 0.0125 tons of N2O per ton of nitrogen.  An estimated 30 percent of non-volatized nitrogen is assumed to leach or runoff, forming 0.025 tons of N2O per ton of nitrogen in leachate or runoff. Reference [16]</t>
    </r>
  </si>
  <si>
    <t>study period</t>
  </si>
  <si>
    <t>Planting increment for SRWC</t>
  </si>
  <si>
    <t>L diesel/kg biomass</t>
  </si>
  <si>
    <t>tons/acre-year</t>
  </si>
  <si>
    <t>kg/day</t>
  </si>
  <si>
    <t>dry tons per day</t>
  </si>
  <si>
    <t>kg/acre-30yr</t>
  </si>
  <si>
    <t>Michigan</t>
  </si>
  <si>
    <t>SWRC Yield</t>
  </si>
  <si>
    <t>Taxon</t>
  </si>
  <si>
    <t>Reference [12]</t>
  </si>
  <si>
    <t>1. SRWC yield acre per year</t>
  </si>
  <si>
    <t>Average N FertilizerApplication</t>
  </si>
  <si>
    <t>P Fertilizer Application</t>
  </si>
  <si>
    <t>K fertilizer Application</t>
  </si>
  <si>
    <t>herbicide (diuron)</t>
  </si>
  <si>
    <t>1.1-5.6 kg/ha</t>
  </si>
  <si>
    <t>Stanturf et al, 2001</t>
  </si>
  <si>
    <t>kg/ha-yr</t>
  </si>
  <si>
    <t>kg/acre-yr</t>
  </si>
  <si>
    <t>Reference [19], pg 37, table 3</t>
  </si>
  <si>
    <t>N</t>
  </si>
  <si>
    <t>P</t>
  </si>
  <si>
    <t>carbon content SRWC</t>
  </si>
  <si>
    <t>MW C</t>
  </si>
  <si>
    <t>kg/mol</t>
  </si>
  <si>
    <t>MW CO2</t>
  </si>
  <si>
    <t>SRWC CO2 Uptake</t>
  </si>
  <si>
    <t>kg CO2 uptake/kg biomass</t>
  </si>
  <si>
    <t>Periodic Table</t>
  </si>
  <si>
    <t>SRWC yield value</t>
  </si>
  <si>
    <t>The abbreviation "K" is used for the word, "potassium" in the 'Data Summary' sheet</t>
  </si>
  <si>
    <t>The abbreviation "P" is used for the word, "phosphorus" in the 'Data Summary' sheet</t>
  </si>
  <si>
    <t>The abbreviation "N" is used for the word, "nitrogen" in the 'Data Summary' sheet</t>
  </si>
  <si>
    <t>Reference [1]</t>
  </si>
  <si>
    <t>Reference [2]</t>
  </si>
  <si>
    <t>Reference [3]</t>
  </si>
  <si>
    <t>Reference [5]</t>
  </si>
  <si>
    <t>Reference [19], [20]</t>
  </si>
  <si>
    <t>Reference [18]</t>
  </si>
  <si>
    <t>Reference [19], pg 37</t>
  </si>
  <si>
    <t>Reference [20], pg 16 &amp; 18</t>
  </si>
  <si>
    <t>[kg/acre-year] Adjustable parameter; the annual yield rate of the corn stover.</t>
  </si>
  <si>
    <t xml:space="preserve">[L diesel/acre] Amount of diesel required per acre area. </t>
  </si>
  <si>
    <t>[L/kg biomass] Liters of diesel used per kg of biomass produced.</t>
  </si>
  <si>
    <t>[kg diesel/L diesel] Mass of diesel per liter (unit conversion)</t>
  </si>
  <si>
    <t>[kg diesel/kg biomass] Mass of diesel used per kg of biomass produced.</t>
  </si>
  <si>
    <t>[kg/kg] kg of N applied via fertilizer annually, per kg of biomass produced.</t>
  </si>
  <si>
    <t>[kg/kg] kg of P applied via fertilizer annually, per kg of biomass produced.</t>
  </si>
  <si>
    <t>[kg/kg] kg of K applied via fertilizer annually, per kg of biomass produced.</t>
  </si>
  <si>
    <t>[L/acre] Liters of groundwater used annually for irrigation.</t>
  </si>
  <si>
    <t>[L/acre] Liters of surface water used annually for irrigation.</t>
  </si>
  <si>
    <t>[L/acre] Liters of rainfall that occurs annually.</t>
  </si>
  <si>
    <t>[L/acre] Liters of water runoff anticipated to occur annually.</t>
  </si>
  <si>
    <t>[L/kg] Liters of groundwater used per kg of biomass production.</t>
  </si>
  <si>
    <t>[L/kg] Liters of surface water used per kg of biomass production.</t>
  </si>
  <si>
    <t>[L/kg] Liters of rainfall used per kg of biomass production.</t>
  </si>
  <si>
    <t>[L/kg] Liters of runoff water per kg of biomass production.</t>
  </si>
  <si>
    <t>[kg/acre] kg of N discharged in runoff water annually, per acre.</t>
  </si>
  <si>
    <t>[kg/acre] kg of P discharged in runoff water annually, per acre.</t>
  </si>
  <si>
    <t>[kg/kg] kg of N discharged in runoff water, per kg of crop production.</t>
  </si>
  <si>
    <t>[kg/kg] kg of P discharged in runoff water, per kg of crop production.</t>
  </si>
  <si>
    <t>The abbreviation "SRWC" is used for the phrase, "short rotation woody crops" in the 'Data Summary' sheet</t>
  </si>
  <si>
    <t xml:space="preserve">[kg/acre] Emission factor for fugitive dust-related particulate matter per acre. </t>
  </si>
  <si>
    <t>[kg/acre-year] Mass of herbicide applied, per acre-year.</t>
  </si>
  <si>
    <t>L diesel/acre</t>
  </si>
  <si>
    <t>[Technosphere] Amount of herbicide required to produce 1 kg of biomass ready for harvest.</t>
  </si>
  <si>
    <t>[Technosphere] Amount of K from fertilizer required to produce 1 kg of biomass ready for harvest.</t>
  </si>
  <si>
    <t>[Technosphere] Amount of P from fertilizer required to produce 1 kg of biomass ready for harvest.</t>
  </si>
  <si>
    <t>[Technosphere] Amount of N from fertilizer required to produce 1 kg of biomass ready for harvest.</t>
  </si>
  <si>
    <t>[Resource] Amount of ground water required to produce 1 kg of biomass ready for harvest.</t>
  </si>
  <si>
    <t>[Resource] Amount of surface water required to produce 1 kg of biomass ready for harvest.</t>
  </si>
  <si>
    <t>[Resource] Amount of rainfall required to produce 1 kg of biomass ready for harvest.</t>
  </si>
  <si>
    <t>Water runoff</t>
  </si>
  <si>
    <t>Single manufacturer</t>
  </si>
  <si>
    <t>Specs for similar/generic equipment</t>
  </si>
  <si>
    <t>US west/midwest</t>
  </si>
  <si>
    <t>US midwest, south, and east</t>
  </si>
  <si>
    <t>Canada</t>
  </si>
  <si>
    <t>US midwest</t>
  </si>
  <si>
    <t>01/21/2009</t>
  </si>
  <si>
    <t>http://www.dieselnet.com/standards/us/stationary.php</t>
  </si>
  <si>
    <r>
      <t xml:space="preserve">EPA. 2007. </t>
    </r>
    <r>
      <rPr>
        <i/>
        <sz val="10"/>
        <rFont val="Arial"/>
        <family val="2"/>
      </rPr>
      <t>Inventory of U.S. Greenhouse Gas Emissions and Sinks: 1990-2005 -Annex 6 Additional Information</t>
    </r>
    <r>
      <rPr>
        <sz val="10"/>
        <rFont val="Arial"/>
        <family val="2"/>
      </rPr>
      <t>. U.S. Environmental Protection Agency.</t>
    </r>
  </si>
  <si>
    <t>Reference [19[ page 1658</t>
  </si>
  <si>
    <t>Journal Article</t>
  </si>
  <si>
    <t>Forest Biomass as a Feedstock for Energy Production</t>
  </si>
  <si>
    <t>The Growth Potential of Southern Pine Plantations: Untapped Opportunities</t>
  </si>
  <si>
    <t>Nutrient Management of Southern Pines</t>
  </si>
  <si>
    <t>U.S. Billion Ton Update: Biomass Supply for a Bioenergy and Bioproducts Industry</t>
  </si>
  <si>
    <t>Woody Energy Crops in the Doutheastern United States: Two Centuries of Practitioner Experience</t>
  </si>
  <si>
    <t>McClure, N.</t>
  </si>
  <si>
    <t>Fox, T</t>
  </si>
  <si>
    <t>Jokela, E.</t>
  </si>
  <si>
    <t>U.S. DOE</t>
  </si>
  <si>
    <t>Kline, K.</t>
  </si>
  <si>
    <t>Dickens, E.D.; Barnett, J.P.; Hubbard, W.G.</t>
  </si>
  <si>
    <t>Coleman, M.</t>
  </si>
  <si>
    <t>1655-1666</t>
  </si>
  <si>
    <t>Biomass and Bioenergy</t>
  </si>
  <si>
    <t>34</t>
  </si>
  <si>
    <t>2006-2011</t>
  </si>
  <si>
    <t>US Southeast</t>
  </si>
  <si>
    <t>McClure, N. 2011. Forest Biomass as a Feedstock for Energy Production. Available at: http://www.gabioenergy.org/ppt/McClure--Forest%20Biomass%20as%20a%20Feedstock%20for%20Energy%20Production.pdf Accessed May 4, 2012.</t>
  </si>
  <si>
    <t>Fox, T. 2011. The Growth Potential of Southern Pine Plantations: Untapped Opportunities. Available at: http://www.apsaf.org/meetings/apsaf-2011/ppt/Fox-ApSAF-2011-Growth_Potential_of_Plantations_in_the_South.pdf Accessed May 4, 2012.</t>
  </si>
  <si>
    <t>Jokela, E., Dickens, E.D., Barnett, J.P., and Hubbard, W.G.. Nutrient Management of Southern Pines. Available at: http://forestproductivity.com/sitefactors/soils/nutrient_management_southern_pines.pdf Accessed May 4, 2012.</t>
  </si>
  <si>
    <t>U.S. DOE. 2011. U.S. Billion Ton Update: Biomass Supply for a Bioenergy and Bioproducts Industry. Available at: http://www1.eere.energy.gov/biomass/pdfs/billion_ton_update.pdf Accessed May 4, 2012.</t>
  </si>
  <si>
    <t>Kline, K., and Coleman, M. 2010. Woody Energy Crops in the Doutheastern United States: Two Centuries of Practitioner Experience. Biomass and Bioenergy 34:1655-1666</t>
  </si>
  <si>
    <t>Yield data</t>
  </si>
  <si>
    <t>Reference [25] page 21</t>
  </si>
  <si>
    <t>Reference [26] page 22</t>
  </si>
  <si>
    <t>Reference [27] page 7</t>
  </si>
  <si>
    <t>Reference [27]</t>
  </si>
  <si>
    <t>Reference [28] page 116</t>
  </si>
  <si>
    <t>Reference [28]</t>
  </si>
  <si>
    <t>Reference [29]</t>
  </si>
  <si>
    <t>Fertilizer Use</t>
  </si>
  <si>
    <t>Fertilizer Air Emissions</t>
  </si>
  <si>
    <t>Herbicide Usage</t>
  </si>
  <si>
    <t>Herbicide, annual application rate</t>
  </si>
  <si>
    <t>Nelson, L.</t>
  </si>
  <si>
    <t>Herbicide Prescription Manual for Southern Pine Management</t>
  </si>
  <si>
    <t>November, 2002</t>
  </si>
  <si>
    <t>Nelson, L. 2002. Herbicide Prescription Manual for Southern Pine Management. Available at: http://www.clemson.edu/extfor/herbicide%20prescription%20manual/herbicidemanual.htm Accessed May 4, 2012.</t>
  </si>
  <si>
    <t>Reference [30]</t>
  </si>
  <si>
    <t>Biomass Yield</t>
  </si>
  <si>
    <t>[25], [26], [27], [28]. [29]</t>
  </si>
  <si>
    <t>1,1,2,1,1</t>
  </si>
  <si>
    <t>2,2,2,2,2</t>
  </si>
  <si>
    <t>25-29</t>
  </si>
  <si>
    <t>Documentation for the Calculating Uncertainty in Biomass Emissions Model, Version 2.0 (CUBE 2.0): Contents and Use.</t>
  </si>
  <si>
    <t>NETL</t>
  </si>
  <si>
    <t>November 15</t>
  </si>
  <si>
    <t>U.S.</t>
  </si>
  <si>
    <t>NETL. 2011. Documentation for the Calculating Uncertainty in Biomass Emissions Model, Version 2.0 (CUBE 2.0): Contents and Use. November 15, 2011.</t>
  </si>
  <si>
    <t>Herbicide usage data</t>
  </si>
  <si>
    <t>Biomass properties data (various)</t>
  </si>
  <si>
    <t>[kg/acre-rotation] Biomass yield per rotation.</t>
  </si>
  <si>
    <t>C_Diesel</t>
  </si>
  <si>
    <t>Diesel consumption</t>
  </si>
  <si>
    <t>Herb</t>
  </si>
  <si>
    <t>Fert</t>
  </si>
  <si>
    <t>Yield_SRWC</t>
  </si>
  <si>
    <t>C_Up</t>
  </si>
  <si>
    <t>C_Water</t>
  </si>
  <si>
    <t>E_Water</t>
  </si>
  <si>
    <t>Herbicide usage</t>
  </si>
  <si>
    <t>Fertilizer usage</t>
  </si>
  <si>
    <t>Southern pine biomass yield</t>
  </si>
  <si>
    <t>Carbon uptake</t>
  </si>
  <si>
    <t>Water quality emissions</t>
  </si>
  <si>
    <t>Calculations: Energy, materials and emissions associated with SRWC cultivation activities</t>
  </si>
  <si>
    <t>4*</t>
  </si>
  <si>
    <t>6*</t>
  </si>
  <si>
    <t>DOE. 2010. Instructions for Form EIA-1605, Voluntary Reporting of Greenhouse Gases. OMB No. 1905-0194. U.S. Department of Energy. http://www.eia.gov/oiaf/1605/pdf/Form%20EIA-1605%20Instructions.pdf (Accessed April 2, 2012)</t>
  </si>
  <si>
    <t xml:space="preserve">South Coast Air Quality Management District. 2005. Final Environmental Assessment: Proposed Rule 1469.1 - Spraying Operations Using Coatings Containing Chromium. SCAQMD. February, 2005. </t>
  </si>
  <si>
    <t>DieselNet. 2009a. Emission Standards &gt;&gt; United States Stationary Diesel Engines.  Ecopoint Inc. http://www.dieselnet.com/standards/us/stationary.php (Accessed February 5, 2010).</t>
  </si>
  <si>
    <t>7*</t>
  </si>
  <si>
    <t>DieselNet. 2009b. Nonroad Diesel Engines. Ecopoint Inc. www.dieselnet.com/standards/us/nonroad.php (Accessed February 5, 2010).</t>
  </si>
  <si>
    <t>DOE. 2010. Instructions for Form EIA-1605, Voluntary Reporting of Greenhouse Gases Appendix H. OMB No. 1905-0194. U.S. Department of Energy. http://www.eia.gov/oiaf/1605/pdf/Form%20EIA-1605%20Instructions.pdf (Accessed April 2, 2012)</t>
  </si>
  <si>
    <t>9*</t>
  </si>
  <si>
    <t>10*</t>
  </si>
  <si>
    <t>24*</t>
  </si>
  <si>
    <t>This unit process includes operation period farming activities for cultivation of SRWC, including fertilizers, herbicides and water use, as well as emissions from criteria air pollutants, and water emissions.</t>
  </si>
  <si>
    <t>Diesel Combustion, Mobile Sources, Truck  [Refinery products]</t>
  </si>
  <si>
    <t>*As of version 2, this reference is no longer in use as the combustion process is now an input.</t>
  </si>
  <si>
    <t>Industry review page for US diesel emission standards and assocaited regs                                          *As of version 2, this reference is no longer in use as the combustion process is now an input.</t>
  </si>
  <si>
    <t>Data for ammonia emissions           *As of version 2, this reference is no longer in use as the combustion process is now an input.</t>
  </si>
  <si>
    <r>
      <t xml:space="preserve">This unit process is composed of this document and the file, </t>
    </r>
    <r>
      <rPr>
        <i/>
        <sz val="10"/>
        <rFont val="Arial"/>
        <family val="2"/>
      </rPr>
      <t>DF_Stage1_O_SouthernPine_Cultivation_2012.02.doc</t>
    </r>
    <r>
      <rPr>
        <sz val="10"/>
        <rFont val="Tahoma"/>
        <family val="2"/>
      </rPr>
      <t xml:space="preserve">, which provides additional details regarding relevant calculations, data quality, and references. </t>
    </r>
  </si>
  <si>
    <t>[Technosphere] Amount of diesel combusted within the mobile source</t>
  </si>
  <si>
    <t>*As of version 2, this assumption is no longer applied as the combustion process is now an input.</t>
  </si>
  <si>
    <t>E_N2O</t>
  </si>
  <si>
    <t>[kg/kg biomass] Calculated emissions for N2O, per kg of biomass produced</t>
  </si>
  <si>
    <t>Nitrous oxide (laughing gas) [Inorganic emissions to air]</t>
  </si>
  <si>
    <t>Particulate Matter, unspecified [Other emissions to air]</t>
  </si>
  <si>
    <t>.</t>
  </si>
  <si>
    <t>18, 19</t>
  </si>
  <si>
    <t>Template Version:</t>
  </si>
  <si>
    <t>4.0</t>
  </si>
  <si>
    <t>2,2</t>
  </si>
  <si>
    <t>1,2</t>
  </si>
  <si>
    <t>GaBi 5</t>
  </si>
  <si>
    <t>Processes\NETL Power\Power 2012\Saline Aquifer</t>
  </si>
  <si>
    <t>Database</t>
  </si>
  <si>
    <t>NETL Comp DB with TAR Models Loaded 07132012 - Loaded 10052012 [C:\Users\558108\Documents\GaBi\DB\Converted DBs to GaBi 5.0 Format\NETL Comp DB with TAR Models Loaded 07132012 - Loaded 10052012.GabiDB]</t>
  </si>
  <si>
    <t>Name</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</si>
  <si>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</si>
  <si>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</si>
  <si>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</si>
  <si>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</si>
  <si>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</si>
  <si>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</si>
  <si>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</si>
  <si>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</si>
  <si>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</si>
  <si>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</si>
  <si>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</si>
  <si>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</si>
  <si>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</si>
  <si>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</si>
  <si>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</si>
  <si>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</si>
  <si>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</si>
  <si>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</si>
  <si>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</si>
  <si>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</si>
  <si>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</si>
  <si>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</si>
  <si>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</si>
  <si>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</si>
  <si>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</si>
  <si>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</si>
  <si>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</si>
  <si>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</si>
  <si>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</si>
  <si>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</si>
  <si>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</si>
  <si>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</si>
  <si>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</si>
  <si>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</si>
  <si>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</si>
  <si>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</si>
  <si>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</si>
  <si>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</si>
  <si>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</si>
  <si>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</si>
  <si>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</si>
  <si>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</si>
  <si>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</si>
  <si>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</si>
  <si>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</si>
  <si>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</si>
  <si>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</si>
  <si>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</si>
  <si>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</si>
  <si>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</si>
  <si>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</si>
  <si>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</si>
  <si>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</si>
  <si>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</si>
  <si>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</si>
  <si>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</si>
  <si>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</si>
  <si>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</si>
  <si>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</si>
  <si>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</si>
  <si>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</si>
  <si>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</si>
  <si>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</si>
  <si>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</si>
  <si>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</si>
  <si>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</si>
  <si>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</si>
  <si>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</si>
  <si>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</si>
  <si>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</si>
  <si>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</si>
  <si>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</si>
  <si>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</si>
  <si>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</si>
  <si>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</si>
  <si>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</si>
  <si>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</si>
  <si>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</si>
  <si>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</si>
  <si>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</si>
  <si>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</si>
  <si>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</si>
  <si>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Free of charge for all users and uses</t>
  </si>
  <si>
    <t>Access and use restrictions</t>
  </si>
  <si>
    <t>Owner of the data set</t>
  </si>
  <si>
    <t>Minimum</t>
  </si>
  <si>
    <t>Maximum</t>
  </si>
  <si>
    <t>Standard deviation</t>
  </si>
  <si>
    <t>Comment, units, defaults</t>
  </si>
  <si>
    <t>No statement</t>
  </si>
  <si>
    <t>Inputs</t>
  </si>
  <si>
    <t>Flow</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</si>
  <si>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</si>
  <si>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</si>
  <si>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</si>
  <si>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</si>
  <si>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</si>
  <si>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</si>
  <si>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</si>
  <si>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</si>
  <si>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</si>
  <si>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</si>
  <si>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</si>
  <si>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</si>
  <si>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</si>
  <si>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</si>
  <si>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</si>
  <si>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</si>
  <si>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</si>
  <si>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</si>
  <si>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</si>
  <si>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</si>
  <si>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</si>
  <si>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</si>
  <si>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</si>
  <si>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</si>
  <si>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</si>
  <si>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</si>
  <si>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</si>
  <si>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</si>
  <si>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</si>
  <si>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</si>
  <si>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</si>
  <si>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</si>
  <si>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</si>
  <si>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</si>
  <si>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</si>
  <si>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</si>
  <si>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</si>
  <si>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</si>
  <si>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</si>
  <si>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</si>
  <si>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</si>
  <si>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</si>
  <si>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</si>
  <si>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</si>
  <si>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This unit process provides a summary of the short rotation woody crop (SRWC) cultivation process including mass of diesel, fertilizers, herbicides and water used in cultivation operations. The LC boundary of this unit process starts with the seeding of biomass and ends with SRWC ready for harvest. Operations of farming activities used for cultivation for SRWC are based on the production of 1 kg of SRWC biomass. The mass of diesel used to power equipment, mass of fertilizer and herbicides and related emissions produced from cultivation operations (e.g. emissions from water and dust etc) are calculated based on the reference flow. Diesel combustion has been made external to this process and is now an input.   The reference flow of this unit process is: 1 kg of Biomass Operation</t>
  </si>
  <si>
    <t>Herbicide Use (Diuron)  [Inorganic intermediate products]</t>
  </si>
  <si>
    <t>Biomass_Rot*Biomass_yield_y</t>
  </si>
  <si>
    <t>Elec_acre/Biomass_yield_y</t>
  </si>
  <si>
    <t>Diesel_acre_y/Biomass_yield_y</t>
  </si>
  <si>
    <t>Fert_N_kg*FertN2Orate</t>
  </si>
  <si>
    <t>GaBi 5 Import</t>
  </si>
  <si>
    <t>Data Summary page formatted for importation into the GaBi 5</t>
  </si>
  <si>
    <t>Note: Inventory items not included are assumed to be zero based on best engineering judgment or assumed to be zero because no data was available to categorize them for this unit process at the time of its creation.</t>
  </si>
  <si>
    <t>E_PMfd</t>
  </si>
  <si>
    <t>[kg/kg] Emissions of fugitive dust-related particulate matter per kg of crop production</t>
  </si>
  <si>
    <t>EF_PMfd/Biomass_yield_y</t>
  </si>
  <si>
    <t>EF_PM10fd</t>
  </si>
  <si>
    <t>PM25_PM10</t>
  </si>
  <si>
    <t>kg/kg</t>
  </si>
  <si>
    <t>[kg/kg] Ratio of PM2.5 to PM10 from  land preparation activities</t>
  </si>
  <si>
    <t>E_PM10fd</t>
  </si>
  <si>
    <t>E_PM25fd</t>
  </si>
  <si>
    <t>[kg/kg] Emissions of PM10 fugitive dust-related particulate matter per kg of crop production</t>
  </si>
  <si>
    <t>[kg/kg] Emissions of PM2.5 fugitive dust-related particulate matter per kg of crop production</t>
  </si>
  <si>
    <t>Dust (PM10) [Particles to air]</t>
  </si>
  <si>
    <t>Dust (PM2.5) [Particles to air]</t>
  </si>
  <si>
    <t>kg (NH3+NOx)/kg N applied (synthetic)</t>
  </si>
  <si>
    <t>Reference [32], Assumption [15]</t>
  </si>
  <si>
    <t>kg (NH3)/kg N applied (synthetic)</t>
  </si>
  <si>
    <t>kg (NOx)/kg N applied (synthetic)</t>
  </si>
  <si>
    <t>Reference [32]</t>
  </si>
  <si>
    <t>Data is not available to determine NH3 volatilization separate from NOx volatilization in fertilizer application. It is assumed that the mass of nitrogen that volatilizes in the form of these two chemicals is distributed evenly between them.</t>
  </si>
  <si>
    <t>FertNH3rate</t>
  </si>
  <si>
    <t>kg NH3/kg N</t>
  </si>
  <si>
    <t>[kg NH3/kg N] Mass of NH3 that volatilizes for every kg of nitrogen applied as fertilizer.</t>
  </si>
  <si>
    <t>FertNOxrate</t>
  </si>
  <si>
    <t>kg NOx/kg N</t>
  </si>
  <si>
    <t>[kg NOx/kg N] Mass of NOx that volatilizes for every kg of nitrogen applied as fertilizer.</t>
  </si>
  <si>
    <t>E_NH3</t>
  </si>
  <si>
    <t>[kg/kg biomass] Calculated emissions for NH3, per kg of biomass produced</t>
  </si>
  <si>
    <t>E_NOx</t>
  </si>
  <si>
    <t>[kg/kg biomass] Calculated emissions for NOx, per kg of biomass produced</t>
  </si>
  <si>
    <t>IPCC Guidelines for National Greenhouse Gas Inventories</t>
  </si>
  <si>
    <t>IPCC</t>
  </si>
  <si>
    <t>2006</t>
  </si>
  <si>
    <t>Global</t>
  </si>
  <si>
    <t xml:space="preserve">IPCC. 2006. IPCC Guidelines for National Greenhouse Gas Inventories- Chapter 11. Available at: http://www.ipcc-nggip.iges.or.jp/public/2006gl/ </t>
  </si>
  <si>
    <t>http://www.ipcc-nggip.iges.or.jp/public/2006gl/</t>
  </si>
  <si>
    <t>[kg/acre] Mass of herbicide applied, per acre-year.</t>
  </si>
  <si>
    <t>lbs PM10/acre-pass</t>
  </si>
  <si>
    <t>kg PM10/acre</t>
  </si>
  <si>
    <t>kg PM10/kg biomass</t>
  </si>
  <si>
    <t>PM2.5/PM10</t>
  </si>
  <si>
    <t>Ammonia [Inorganic emissions to air]</t>
  </si>
  <si>
    <t>Nitrogen oxides [Inorganic emissions to air]</t>
  </si>
  <si>
    <t>Reference [11]</t>
  </si>
  <si>
    <t>Electricity [Electric Power]</t>
  </si>
  <si>
    <t>Equipment Assembly per kg Biomass [Valuable substances]</t>
  </si>
  <si>
    <t>pieces</t>
  </si>
  <si>
    <t>[Technosphere] Amount of equipment required for cultivation</t>
  </si>
  <si>
    <t>piece</t>
  </si>
  <si>
    <t>kg PM10/acre/year</t>
  </si>
  <si>
    <t>kg/acre/yr</t>
  </si>
  <si>
    <t>[kg/acre/yr] Emission factor for fugitive dust-related particulate matter per acre per year.</t>
  </si>
  <si>
    <t>kg PM10/acre/study-period</t>
  </si>
  <si>
    <t>Federal Regulation</t>
  </si>
  <si>
    <t>Control of emissions from new and in-use nonroad compression-ignition engines 40CFR.1.1039</t>
  </si>
  <si>
    <t xml:space="preserve">U.S. National Archives and Records Administration. </t>
  </si>
  <si>
    <t>2015</t>
  </si>
  <si>
    <t>http://www.ecfr.gov/cgi-bin/text-idx?SID=ce19e4f40381388d99fccef4a71f67d5&amp;tpl=/ecfrbrowse/Title40/40cfr1039_main_02.tpl</t>
  </si>
  <si>
    <t>U.S. National Archives and Records Administration. 2015. Control of emissions from new and in-use nonroad compression-ignition engines: 40CFR.1.1039. http://www.ecfr.gov/cgi-bin/text-idx?SID=ce19e4f40381388d99fccef4a71f67d5&amp;tpl=/ecfrbrowse/Title40/40cfr1039_main_02.tpl</t>
  </si>
  <si>
    <t>Tear4 emissons standards as defined by 40 CFR part 139 apply to all non-road mobile equipment and Diesel Combustion, Mobile Sources, Truck is used to aproximate emissions from all mobile equipment. See Reference 33</t>
  </si>
  <si>
    <t>Tear4 emissons standards as defined by 40 CFR part 139 apply to all non-road mobile equipment and Diesel Combustion, Mobile Sources, Truck is used to aproximate emissions from all mobile equipment. See Reference 34</t>
  </si>
  <si>
    <t xml:space="preserve">This unit process includes operation period farming activities for cultivation of SRWC (from Southern Pine), including inputs of combusted diesel, fertilizers, herbicides and water use, as well as criteria air pollutants and water emissions. </t>
  </si>
  <si>
    <r>
      <t>This document should be cited as:</t>
    </r>
    <r>
      <rPr>
        <i/>
        <sz val="10"/>
        <rFont val="Arial"/>
        <family val="2"/>
      </rPr>
      <t xml:space="preserve"> </t>
    </r>
    <r>
      <rPr>
        <sz val="10"/>
        <rFont val="Arial"/>
        <family val="2"/>
      </rPr>
      <t xml:space="preserve">NETL (2012). </t>
    </r>
    <r>
      <rPr>
        <i/>
        <sz val="10"/>
        <rFont val="Arial"/>
        <family val="2"/>
      </rPr>
      <t xml:space="preserve">NETL Life Cycle Inventory Data – Unit Process: Southern Pine Cultivation, Operation. </t>
    </r>
    <r>
      <rPr>
        <sz val="10"/>
        <rFont val="Arial"/>
        <family val="2"/>
      </rPr>
      <t>U.S. Department of Energy, National Energy Technology Laboratory. Last Updated: December 2014 (version 02). www.netl.doe.gov/energy-analyses (http://www.netl.doe.gov/energy-analyses)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</si>
</sst>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8" formatCode="&quot;$&quot;#,##0.00_);[Red]\(&quot;$&quot;#,##0.00\)"/>
    <numFmt numFmtId="43" formatCode="_(* #,##0.00_);_(* \(#,##0.00\);_(* &quot;-&quot;??_);_(@_)"/>
    <numFmt numFmtId="164" formatCode="[=0]&quot;&quot;;General"/>
    <numFmt numFmtId="165" formatCode="0.00E+0;[=0]&quot;-&quot;;0.00E+0"/>
    <numFmt numFmtId="166" formatCode="_ [$€-2]\ * #,##0.00_ ;_ [$€-2]\ * \-#,##0.00_ ;_ [$€-2]\ * &quot;-&quot;??_ "/>
    <numFmt numFmtId="171" formatCode="[$-409]mmmm\ d\,\ yyyy;@"/>
    <numFmt numFmtId="172" formatCode="0.0"/>
    <numFmt numFmtId="173" formatCode="m/d/yy\ h:mm"/>
    <numFmt numFmtId="174" formatCode="mmm\ dd\,\ yyyy"/>
    <numFmt numFmtId="175" formatCode="mmm\-yyyy"/>
    <numFmt numFmtId="176" formatCode="yyyy"/>
    <numFmt numFmtId="177" formatCode="0.00000"/>
    <numFmt numFmtId="185" formatCode="_(* #,##0.0_);_(* \(#,##0.0\);_(* &quot;-&quot;??_);_(@_)"/>
    <numFmt numFmtId="186" formatCode="_(* #,##0_);_(* \(#,##0\);_(* &quot;-&quot;??_);_(@_)"/>
    <numFmt numFmtId="190" formatCode="[$-409]m/d/yy\ h:mm\ AM/PM;@"/>
  </numFmts>
  <fonts count="50" x14ac:knownFonts="1">
    <font>
      <sz val="10"/>
      <name val="Arial"/>
    </font>
    <font>
      <sz val="10"/>
      <name val="Arial"/>
      <family val="2"/>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i/>
      <sz val="10"/>
      <name val="Arial"/>
      <family val="2"/>
    </font>
    <font>
      <sz val="8"/>
      <color indexed="81"/>
      <name val="Tahoma"/>
      <family val="2"/>
    </font>
    <font>
      <b/>
      <sz val="8"/>
      <color indexed="81"/>
      <name val="Tahoma"/>
      <family val="2"/>
    </font>
    <font>
      <sz val="12"/>
      <name val="Times New Roman"/>
      <family val="1"/>
    </font>
    <font>
      <b/>
      <sz val="12"/>
      <name val="Times New Roman"/>
      <family val="1"/>
    </font>
    <font>
      <b/>
      <u/>
      <sz val="10"/>
      <name val="Arial"/>
      <family val="2"/>
    </font>
    <font>
      <b/>
      <i/>
      <sz val="10"/>
      <name val="Arial"/>
      <family val="2"/>
    </font>
    <font>
      <i/>
      <sz val="9"/>
      <name val="Arial"/>
      <family val="2"/>
    </font>
    <font>
      <sz val="10"/>
      <name val="Tahoma"/>
      <family val="2"/>
    </font>
    <font>
      <b/>
      <u/>
      <sz val="14"/>
      <name val="Arial"/>
      <family val="2"/>
    </font>
    <font>
      <b/>
      <i/>
      <u/>
      <sz val="10"/>
      <name val="Arial"/>
      <family val="2"/>
    </font>
    <font>
      <b/>
      <u/>
      <sz val="16"/>
      <name val="Arial"/>
      <family val="2"/>
    </font>
    <font>
      <b/>
      <sz val="11"/>
      <name val="Arial"/>
      <family val="2"/>
    </font>
    <font>
      <b/>
      <sz val="12"/>
      <name val="Arial"/>
      <family val="2"/>
    </font>
    <font>
      <b/>
      <sz val="10"/>
      <color indexed="8"/>
      <name val="Arial"/>
      <family val="2"/>
    </font>
    <font>
      <sz val="10"/>
      <color indexed="8"/>
      <name val="Arial"/>
      <family val="2"/>
    </font>
    <font>
      <b/>
      <i/>
      <sz val="10"/>
      <color indexed="8"/>
      <name val="Arial"/>
      <family val="2"/>
    </font>
    <font>
      <b/>
      <sz val="16"/>
      <color indexed="56"/>
      <name val="Arial"/>
      <family val="2"/>
    </font>
    <font>
      <b/>
      <u/>
      <sz val="10"/>
      <color indexed="8"/>
      <name val="Arial"/>
      <family val="2"/>
    </font>
    <font>
      <sz val="9"/>
      <color indexed="81"/>
      <name val="Tahoma"/>
      <family val="2"/>
    </font>
    <font>
      <b/>
      <sz val="9"/>
      <color indexed="81"/>
      <name val="Tahoma"/>
      <family val="2"/>
    </font>
    <font>
      <sz val="8"/>
      <name val="Helv"/>
    </font>
    <font>
      <b/>
      <sz val="12"/>
      <name val="Helv"/>
    </font>
    <font>
      <b/>
      <sz val="16"/>
      <color indexed="56"/>
      <name val="Arial"/>
      <family val="2"/>
    </font>
    <font>
      <sz val="10"/>
      <color indexed="8"/>
      <name val="Arial"/>
      <family val="2"/>
    </font>
    <font>
      <sz val="12"/>
      <color indexed="8"/>
      <name val="Calibri"/>
      <family val="2"/>
    </font>
    <font>
      <b/>
      <sz val="11"/>
      <color indexed="8"/>
      <name val="Arial"/>
      <family val="2"/>
    </font>
    <font>
      <b/>
      <sz val="10"/>
      <color indexed="8"/>
      <name val="Arial"/>
      <family val="2"/>
    </font>
    <font>
      <strike/>
      <sz val="10"/>
      <color indexed="10"/>
      <name val="Arial"/>
      <family val="2"/>
    </font>
    <font>
      <i/>
      <sz val="10"/>
      <color indexed="10"/>
      <name val="Arial"/>
      <family val="2"/>
    </font>
    <font>
      <b/>
      <u/>
      <sz val="10"/>
      <color indexed="8"/>
      <name val="Arial"/>
      <family val="2"/>
    </font>
    <font>
      <u/>
      <sz val="10"/>
      <color indexed="8"/>
      <name val="Arial"/>
      <family val="2"/>
    </font>
    <font>
      <sz val="10"/>
      <color indexed="10"/>
      <name val="Arial"/>
      <family val="2"/>
    </font>
    <font>
      <sz val="8"/>
      <name val="Arial"/>
      <family val="2"/>
    </font>
    <font>
      <i/>
      <u/>
      <sz val="10"/>
      <color indexed="12"/>
      <name val="Arial"/>
      <family val="2"/>
    </font>
    <font>
      <sz val="11"/>
      <color rgb="FF3F3F76"/>
      <name val="Calibri"/>
      <family val="2"/>
      <scheme val="minor"/>
    </font>
    <font>
      <i/>
      <sz val="11"/>
      <color theme="1"/>
      <name val="Calibri"/>
      <family val="2"/>
      <scheme val="minor"/>
    </font>
    <font>
      <sz val="10"/>
      <color theme="1"/>
      <name val="Arial"/>
      <family val="2"/>
    </font>
  </fonts>
  <fills count="21">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31"/>
        <bgColor indexed="64"/>
      </patternFill>
    </fill>
    <fill>
      <patternFill patternType="solid">
        <fgColor indexed="55"/>
        <bgColor indexed="64"/>
      </patternFill>
    </fill>
    <fill>
      <patternFill patternType="solid">
        <fgColor rgb="FFFFCC99"/>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37">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6"/>
      </left>
      <right style="thin">
        <color indexed="26"/>
      </right>
      <top style="thin">
        <color indexed="26"/>
      </top>
      <bottom style="thin">
        <color indexed="26"/>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theme="2"/>
      </left>
      <right style="thin">
        <color theme="2"/>
      </right>
      <top style="thin">
        <color theme="2"/>
      </top>
      <bottom style="thin">
        <color theme="2"/>
      </bottom>
      <diagonal/>
    </border>
  </borders>
  <cellStyleXfs count="28">
    <xf numFmtId="0" fontId="0" fillId="0" borderId="0"/>
    <xf numFmtId="43" fontId="1" fillId="0" borderId="0" applyFont="0" applyFill="0" applyBorder="0" applyAlignment="0" applyProtection="0"/>
    <xf numFmtId="173" fontId="1" fillId="0" borderId="0" applyFont="0" applyFill="0" applyBorder="0" applyAlignment="0" applyProtection="0">
      <alignment wrapText="1"/>
    </xf>
    <xf numFmtId="166"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47" fillId="15" borderId="35" applyNumberFormat="0" applyAlignment="0" applyProtection="0"/>
    <xf numFmtId="0" fontId="1" fillId="0" borderId="0"/>
    <xf numFmtId="0" fontId="33" fillId="0" borderId="0">
      <alignment horizontal="left"/>
    </xf>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1" fillId="3" borderId="0" applyNumberFormat="0" applyBorder="0">
      <alignment horizontal="center" wrapText="1"/>
    </xf>
    <xf numFmtId="0" fontId="1" fillId="4" borderId="3" applyNumberFormat="0">
      <alignment wrapText="1"/>
    </xf>
    <xf numFmtId="0" fontId="1" fillId="4" borderId="0" applyNumberFormat="0" applyBorder="0">
      <alignment wrapText="1"/>
    </xf>
    <xf numFmtId="0" fontId="1" fillId="0" borderId="0" applyNumberFormat="0" applyFill="0" applyBorder="0" applyProtection="0">
      <alignment horizontal="right" wrapText="1"/>
    </xf>
    <xf numFmtId="174" fontId="1" fillId="0" borderId="0" applyFill="0" applyBorder="0" applyAlignment="0" applyProtection="0">
      <alignment wrapText="1"/>
    </xf>
    <xf numFmtId="175" fontId="1" fillId="0" borderId="0" applyFill="0" applyBorder="0" applyAlignment="0" applyProtection="0">
      <alignment wrapText="1"/>
    </xf>
    <xf numFmtId="176"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0" fontId="25"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4" fontId="10" fillId="0" borderId="0">
      <alignment horizontal="center" vertical="center"/>
    </xf>
    <xf numFmtId="0" fontId="34" fillId="0" borderId="0">
      <alignment horizontal="left"/>
    </xf>
    <xf numFmtId="165" fontId="11" fillId="0" borderId="0">
      <alignment horizontal="center" vertical="center"/>
    </xf>
  </cellStyleXfs>
  <cellXfs count="414">
    <xf numFmtId="0" fontId="0" fillId="0" borderId="0" xfId="0"/>
    <xf numFmtId="0" fontId="2" fillId="0" borderId="0" xfId="0" applyFont="1"/>
    <xf numFmtId="0" fontId="4" fillId="0" borderId="0" xfId="0" applyFont="1"/>
    <xf numFmtId="0" fontId="2" fillId="5" borderId="4" xfId="0" applyFont="1" applyFill="1" applyBorder="1" applyAlignment="1">
      <alignment horizontal="center"/>
    </xf>
    <xf numFmtId="0" fontId="2" fillId="6" borderId="0" xfId="0" applyFont="1" applyFill="1"/>
    <xf numFmtId="0" fontId="0" fillId="6" borderId="0" xfId="0" applyFill="1"/>
    <xf numFmtId="0" fontId="4" fillId="6" borderId="0" xfId="0" applyFont="1" applyFill="1"/>
    <xf numFmtId="0" fontId="3" fillId="6" borderId="0" xfId="0" applyFont="1" applyFill="1"/>
    <xf numFmtId="0" fontId="0" fillId="7" borderId="4" xfId="0" applyFill="1" applyBorder="1"/>
    <xf numFmtId="0" fontId="2" fillId="7" borderId="4" xfId="0" applyFont="1" applyFill="1" applyBorder="1"/>
    <xf numFmtId="0" fontId="0" fillId="6" borderId="0" xfId="0" applyFill="1" applyAlignment="1">
      <alignment horizontal="center"/>
    </xf>
    <xf numFmtId="0" fontId="0" fillId="7" borderId="4" xfId="0" applyFill="1" applyBorder="1" applyAlignment="1">
      <alignment vertical="top" wrapText="1"/>
    </xf>
    <xf numFmtId="0" fontId="2" fillId="7" borderId="4" xfId="0" applyFont="1" applyFill="1" applyBorder="1" applyAlignment="1">
      <alignment vertical="top"/>
    </xf>
    <xf numFmtId="0" fontId="0" fillId="7" borderId="4" xfId="0" applyFill="1" applyBorder="1" applyAlignment="1">
      <alignment vertical="top"/>
    </xf>
    <xf numFmtId="0" fontId="0" fillId="7" borderId="4" xfId="0" applyFill="1" applyBorder="1" applyAlignment="1">
      <alignment horizontal="center" vertical="top"/>
    </xf>
    <xf numFmtId="0" fontId="7" fillId="6" borderId="0" xfId="0" applyFont="1" applyFill="1"/>
    <xf numFmtId="0" fontId="0" fillId="0" borderId="5" xfId="0" applyBorder="1" applyProtection="1">
      <protection locked="0"/>
    </xf>
    <xf numFmtId="0" fontId="0" fillId="7" borderId="4" xfId="0" applyFill="1" applyBorder="1" applyAlignment="1" applyProtection="1">
      <alignment vertical="top"/>
      <protection hidden="1"/>
    </xf>
    <xf numFmtId="0" fontId="2" fillId="5" borderId="4" xfId="0" applyFont="1" applyFill="1" applyBorder="1" applyAlignment="1">
      <alignment horizontal="left"/>
    </xf>
    <xf numFmtId="0" fontId="1" fillId="6" borderId="0" xfId="0" applyFont="1" applyFill="1"/>
    <xf numFmtId="0" fontId="0" fillId="0" borderId="0" xfId="0" applyFill="1"/>
    <xf numFmtId="0" fontId="0" fillId="0" borderId="6" xfId="0" applyFill="1" applyBorder="1" applyAlignment="1" applyProtection="1">
      <protection locked="0"/>
    </xf>
    <xf numFmtId="0" fontId="0" fillId="6" borderId="0" xfId="0" applyFill="1" applyBorder="1" applyAlignment="1">
      <alignment vertical="top" wrapText="1"/>
    </xf>
    <xf numFmtId="0" fontId="9" fillId="0" borderId="0" xfId="4" applyAlignment="1" applyProtection="1"/>
    <xf numFmtId="0" fontId="2" fillId="8" borderId="7" xfId="0" applyFont="1" applyFill="1" applyBorder="1" applyAlignment="1">
      <alignment horizontal="center"/>
    </xf>
    <xf numFmtId="0" fontId="2" fillId="0" borderId="0" xfId="0" applyFont="1" applyAlignment="1">
      <alignment wrapText="1"/>
    </xf>
    <xf numFmtId="0" fontId="8" fillId="0" borderId="7" xfId="0" applyFont="1" applyBorder="1" applyAlignment="1">
      <alignment wrapText="1"/>
    </xf>
    <xf numFmtId="0" fontId="2" fillId="0" borderId="8" xfId="0" applyFont="1" applyBorder="1" applyAlignment="1">
      <alignment wrapText="1"/>
    </xf>
    <xf numFmtId="0" fontId="0" fillId="9" borderId="0" xfId="0" applyFill="1"/>
    <xf numFmtId="0" fontId="16" fillId="0" borderId="0" xfId="0" applyFont="1"/>
    <xf numFmtId="0" fontId="19" fillId="0" borderId="7" xfId="0" applyFont="1" applyBorder="1" applyAlignment="1">
      <alignment wrapText="1"/>
    </xf>
    <xf numFmtId="0" fontId="15" fillId="0" borderId="0" xfId="0" applyFont="1"/>
    <xf numFmtId="0" fontId="2" fillId="0" borderId="4" xfId="0" applyFont="1" applyBorder="1"/>
    <xf numFmtId="0" fontId="0" fillId="0" borderId="9" xfId="0" applyFill="1" applyBorder="1"/>
    <xf numFmtId="0" fontId="0" fillId="0" borderId="10" xfId="0" applyFill="1" applyBorder="1"/>
    <xf numFmtId="0" fontId="0" fillId="6" borderId="0" xfId="0" applyFill="1" applyAlignment="1">
      <alignment horizontal="right"/>
    </xf>
    <xf numFmtId="0" fontId="1" fillId="0" borderId="11" xfId="0" applyFont="1" applyFill="1" applyBorder="1" applyAlignment="1" applyProtection="1">
      <protection locked="0"/>
    </xf>
    <xf numFmtId="0" fontId="1" fillId="0" borderId="5" xfId="0" applyFont="1" applyBorder="1" applyProtection="1">
      <protection locked="0"/>
    </xf>
    <xf numFmtId="0" fontId="1" fillId="0" borderId="0" xfId="0" applyFont="1"/>
    <xf numFmtId="0" fontId="2" fillId="5" borderId="11" xfId="0" applyFont="1" applyFill="1" applyBorder="1" applyAlignment="1">
      <alignment horizontal="left" vertical="center"/>
    </xf>
    <xf numFmtId="0" fontId="6" fillId="6" borderId="0" xfId="0" applyFont="1" applyFill="1" applyAlignment="1"/>
    <xf numFmtId="0" fontId="2" fillId="5" borderId="9" xfId="0" applyFont="1" applyFill="1" applyBorder="1" applyAlignment="1">
      <alignment horizontal="left" vertical="center"/>
    </xf>
    <xf numFmtId="0" fontId="2" fillId="5" borderId="12" xfId="0" applyFont="1" applyFill="1" applyBorder="1" applyAlignment="1">
      <alignment horizontal="lef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wrapText="1"/>
    </xf>
    <xf numFmtId="0" fontId="1" fillId="10" borderId="0" xfId="0" applyFont="1" applyFill="1"/>
    <xf numFmtId="0" fontId="0" fillId="10" borderId="0" xfId="0" applyFill="1"/>
    <xf numFmtId="0" fontId="12" fillId="6" borderId="0" xfId="0" applyFont="1" applyFill="1" applyAlignment="1">
      <alignment horizontal="center"/>
    </xf>
    <xf numFmtId="0" fontId="0" fillId="6" borderId="0" xfId="0" applyFill="1" applyAlignment="1">
      <alignment vertical="center"/>
    </xf>
    <xf numFmtId="0" fontId="2" fillId="6" borderId="0" xfId="0" applyFont="1" applyFill="1" applyAlignment="1">
      <alignment vertical="center"/>
    </xf>
    <xf numFmtId="0" fontId="0" fillId="0" borderId="4" xfId="0" applyFill="1" applyBorder="1" applyAlignment="1" applyProtection="1">
      <alignment vertical="center"/>
      <protection locked="0"/>
    </xf>
    <xf numFmtId="0" fontId="1" fillId="8" borderId="4" xfId="6" applyFill="1" applyBorder="1" applyAlignment="1" applyProtection="1">
      <alignment vertical="center"/>
      <protection hidden="1"/>
    </xf>
    <xf numFmtId="172" fontId="1" fillId="8" borderId="4" xfId="6" applyNumberFormat="1" applyFill="1" applyBorder="1" applyAlignment="1" applyProtection="1">
      <alignment vertical="center"/>
      <protection hidden="1"/>
    </xf>
    <xf numFmtId="0" fontId="0" fillId="0" borderId="4" xfId="0" applyFill="1" applyBorder="1" applyAlignment="1" applyProtection="1">
      <alignment horizontal="center" vertical="center"/>
      <protection locked="0"/>
    </xf>
    <xf numFmtId="0" fontId="0" fillId="0" borderId="0" xfId="0" applyAlignment="1">
      <alignment vertical="center"/>
    </xf>
    <xf numFmtId="0" fontId="1" fillId="0" borderId="4" xfId="0" applyFont="1" applyFill="1" applyBorder="1" applyAlignment="1" applyProtection="1">
      <alignment vertical="top"/>
      <protection locked="0"/>
    </xf>
    <xf numFmtId="0" fontId="21" fillId="0" borderId="0" xfId="0" applyFont="1" applyAlignment="1">
      <alignment horizontal="left"/>
    </xf>
    <xf numFmtId="0" fontId="1" fillId="0" borderId="0" xfId="0" applyFont="1" applyAlignment="1">
      <alignment horizontal="left" wrapText="1"/>
    </xf>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xf numFmtId="0" fontId="0" fillId="0" borderId="0" xfId="0" applyAlignment="1">
      <alignment horizontal="left"/>
    </xf>
    <xf numFmtId="0" fontId="35" fillId="0" borderId="0" xfId="0" applyFont="1" applyFill="1" applyAlignment="1">
      <alignment horizontal="center"/>
    </xf>
    <xf numFmtId="0" fontId="21" fillId="0" borderId="0" xfId="0" applyFont="1" applyFill="1"/>
    <xf numFmtId="0" fontId="22" fillId="9" borderId="0" xfId="0" applyFont="1" applyFill="1"/>
    <xf numFmtId="0" fontId="2" fillId="0" borderId="0" xfId="0" applyFont="1" applyFill="1" applyBorder="1" applyAlignment="1">
      <alignment wrapText="1"/>
    </xf>
    <xf numFmtId="0" fontId="8" fillId="0" borderId="0" xfId="0" applyFont="1" applyBorder="1" applyAlignment="1">
      <alignment wrapText="1"/>
    </xf>
    <xf numFmtId="0" fontId="22" fillId="0" borderId="0" xfId="0" applyFont="1" applyFill="1"/>
    <xf numFmtId="0" fontId="2" fillId="0" borderId="13" xfId="0" applyFont="1" applyBorder="1" applyAlignment="1">
      <alignment horizontal="left" vertical="center"/>
    </xf>
    <xf numFmtId="0" fontId="1" fillId="0" borderId="14" xfId="0" applyFont="1" applyBorder="1"/>
    <xf numFmtId="0" fontId="1" fillId="0" borderId="15" xfId="0" applyFont="1" applyBorder="1"/>
    <xf numFmtId="0" fontId="0" fillId="0" borderId="16" xfId="0" applyBorder="1"/>
    <xf numFmtId="0" fontId="2" fillId="0" borderId="4"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horizontal="left" vertical="center"/>
    </xf>
    <xf numFmtId="0" fontId="1" fillId="0" borderId="0" xfId="0" applyFont="1" applyBorder="1" applyAlignment="1">
      <alignment vertical="center"/>
    </xf>
    <xf numFmtId="0" fontId="1" fillId="0" borderId="17" xfId="0" applyFont="1" applyBorder="1" applyAlignment="1">
      <alignment vertical="center"/>
    </xf>
    <xf numFmtId="0" fontId="1" fillId="0" borderId="0" xfId="0" applyFont="1" applyAlignment="1">
      <alignment wrapText="1"/>
    </xf>
    <xf numFmtId="0" fontId="0" fillId="0" borderId="18" xfId="0" applyBorder="1"/>
    <xf numFmtId="0" fontId="22" fillId="0" borderId="0" xfId="0" applyFont="1" applyFill="1" applyBorder="1" applyAlignment="1">
      <alignment horizontal="left"/>
    </xf>
    <xf numFmtId="0" fontId="0" fillId="0" borderId="19" xfId="0" applyBorder="1"/>
    <xf numFmtId="0" fontId="0" fillId="0" borderId="20" xfId="0" applyBorder="1"/>
    <xf numFmtId="0" fontId="1" fillId="0" borderId="18" xfId="0" applyFont="1" applyBorder="1"/>
    <xf numFmtId="0" fontId="23" fillId="0" borderId="0" xfId="0" applyFont="1" applyFill="1"/>
    <xf numFmtId="0" fontId="1" fillId="0" borderId="0" xfId="0" applyFont="1" applyFill="1"/>
    <xf numFmtId="0" fontId="1" fillId="0" borderId="0" xfId="0" applyFont="1" applyAlignment="1">
      <alignment horizontal="right"/>
    </xf>
    <xf numFmtId="0" fontId="1" fillId="0" borderId="0" xfId="6" applyFill="1"/>
    <xf numFmtId="0" fontId="1" fillId="0" borderId="0" xfId="6" applyFill="1" applyAlignment="1">
      <alignment horizontal="right"/>
    </xf>
    <xf numFmtId="0" fontId="35" fillId="0" borderId="0" xfId="6" applyFont="1" applyFill="1" applyAlignment="1">
      <alignment horizontal="center"/>
    </xf>
    <xf numFmtId="0" fontId="1" fillId="0" borderId="0" xfId="6"/>
    <xf numFmtId="0" fontId="17" fillId="0" borderId="0" xfId="6" applyFont="1"/>
    <xf numFmtId="0" fontId="1" fillId="0" borderId="0" xfId="6" applyAlignment="1">
      <alignment horizontal="right"/>
    </xf>
    <xf numFmtId="0" fontId="1" fillId="0" borderId="0" xfId="6" applyFont="1" applyAlignment="1">
      <alignment horizontal="left"/>
    </xf>
    <xf numFmtId="0" fontId="1" fillId="0" borderId="0" xfId="6" applyAlignment="1">
      <alignment horizontal="left"/>
    </xf>
    <xf numFmtId="0" fontId="5" fillId="0" borderId="0" xfId="6" applyFont="1" applyFill="1" applyBorder="1"/>
    <xf numFmtId="0" fontId="1" fillId="0" borderId="0" xfId="6" applyFont="1" applyAlignment="1">
      <alignment horizontal="right"/>
    </xf>
    <xf numFmtId="0" fontId="24" fillId="0" borderId="0" xfId="6" applyFont="1"/>
    <xf numFmtId="0" fontId="2" fillId="0" borderId="0" xfId="6" applyFont="1" applyAlignment="1"/>
    <xf numFmtId="0" fontId="1" fillId="0" borderId="0" xfId="6" applyAlignment="1">
      <alignment vertical="center"/>
    </xf>
    <xf numFmtId="171" fontId="1" fillId="11" borderId="21" xfId="4" applyNumberFormat="1" applyFont="1" applyFill="1" applyBorder="1" applyAlignment="1" applyProtection="1">
      <alignment horizontal="left" vertical="top" wrapText="1"/>
      <protection locked="0"/>
    </xf>
    <xf numFmtId="0" fontId="0" fillId="9" borderId="21" xfId="0" applyFill="1" applyBorder="1" applyAlignment="1" applyProtection="1">
      <alignment horizontal="left" vertical="top" wrapText="1"/>
      <protection locked="0"/>
    </xf>
    <xf numFmtId="0" fontId="2" fillId="12" borderId="21" xfId="0" applyFont="1" applyFill="1" applyBorder="1" applyAlignment="1" applyProtection="1">
      <alignment horizontal="left" vertical="top" wrapText="1"/>
      <protection hidden="1"/>
    </xf>
    <xf numFmtId="0" fontId="1" fillId="0" borderId="4" xfId="0" applyFont="1" applyFill="1" applyBorder="1" applyAlignment="1" applyProtection="1">
      <alignment vertical="center"/>
      <protection locked="0"/>
    </xf>
    <xf numFmtId="0" fontId="1" fillId="8" borderId="4" xfId="6" applyNumberFormat="1" applyFill="1" applyBorder="1" applyAlignment="1" applyProtection="1">
      <alignment vertical="center"/>
      <protection hidden="1"/>
    </xf>
    <xf numFmtId="0" fontId="24" fillId="0" borderId="0" xfId="0" applyFont="1"/>
    <xf numFmtId="1" fontId="0" fillId="0" borderId="0" xfId="0" applyNumberFormat="1"/>
    <xf numFmtId="0" fontId="36" fillId="0" borderId="0" xfId="0" applyFont="1" applyFill="1"/>
    <xf numFmtId="0" fontId="36" fillId="0" borderId="0" xfId="0" applyFont="1" applyFill="1" applyAlignment="1">
      <alignment wrapText="1"/>
    </xf>
    <xf numFmtId="0" fontId="1" fillId="0" borderId="0" xfId="6" applyAlignment="1">
      <alignment vertical="center" wrapText="1"/>
    </xf>
    <xf numFmtId="0" fontId="1" fillId="0" borderId="0" xfId="0" applyFont="1" applyAlignment="1">
      <alignment horizontal="left"/>
    </xf>
    <xf numFmtId="0" fontId="1" fillId="0" borderId="0" xfId="0" applyFont="1" applyAlignment="1">
      <alignment vertical="center"/>
    </xf>
    <xf numFmtId="0" fontId="36" fillId="0" borderId="0" xfId="0" applyFont="1" applyFill="1" applyAlignment="1">
      <alignment vertical="center"/>
    </xf>
    <xf numFmtId="0" fontId="36" fillId="0" borderId="0" xfId="0" applyFont="1" applyFill="1" applyAlignment="1">
      <alignment horizontal="right" vertical="center"/>
    </xf>
    <xf numFmtId="0" fontId="2" fillId="0" borderId="0" xfId="0" applyFont="1" applyAlignment="1">
      <alignment vertical="center"/>
    </xf>
    <xf numFmtId="0" fontId="1" fillId="0" borderId="0" xfId="0" applyFont="1" applyAlignment="1">
      <alignment horizontal="right" vertical="center"/>
    </xf>
    <xf numFmtId="0" fontId="0" fillId="0" borderId="0" xfId="0" applyAlignment="1">
      <alignment horizontal="right" vertical="center"/>
    </xf>
    <xf numFmtId="0" fontId="1" fillId="0" borderId="0" xfId="6" applyNumberFormat="1" applyAlignment="1">
      <alignment horizontal="right"/>
    </xf>
    <xf numFmtId="0" fontId="1" fillId="0" borderId="0" xfId="6" applyFont="1" applyAlignment="1">
      <alignment horizontal="right" vertical="center"/>
    </xf>
    <xf numFmtId="0" fontId="0" fillId="10" borderId="0" xfId="0" applyFill="1" applyAlignment="1">
      <alignment vertical="center"/>
    </xf>
    <xf numFmtId="0" fontId="0" fillId="0" borderId="0" xfId="0" applyAlignment="1">
      <alignment horizontal="right"/>
    </xf>
    <xf numFmtId="0" fontId="1" fillId="0" borderId="4" xfId="0" applyFont="1" applyFill="1" applyBorder="1" applyAlignment="1" applyProtection="1">
      <alignment horizontal="center" vertical="center"/>
      <protection locked="0"/>
    </xf>
    <xf numFmtId="0" fontId="1" fillId="0" borderId="0" xfId="0" applyFont="1" applyFill="1" applyBorder="1"/>
    <xf numFmtId="0" fontId="0" fillId="0" borderId="0" xfId="0" applyAlignment="1">
      <alignment horizontal="center"/>
    </xf>
    <xf numFmtId="0" fontId="24" fillId="0" borderId="0" xfId="0" applyFont="1" applyAlignment="1">
      <alignment vertical="center"/>
    </xf>
    <xf numFmtId="0" fontId="1" fillId="0" borderId="0" xfId="6" applyFont="1" applyFill="1" applyAlignment="1">
      <alignment vertical="center"/>
    </xf>
    <xf numFmtId="0" fontId="2" fillId="0" borderId="0" xfId="6" applyFont="1" applyAlignment="1">
      <alignment horizontal="center" vertical="center"/>
    </xf>
    <xf numFmtId="0" fontId="0" fillId="0" borderId="0" xfId="0" applyAlignment="1">
      <alignment horizontal="center" wrapText="1"/>
    </xf>
    <xf numFmtId="0" fontId="2" fillId="0" borderId="0" xfId="0" applyFont="1" applyFill="1"/>
    <xf numFmtId="0" fontId="2" fillId="0" borderId="0" xfId="0" applyFont="1" applyAlignment="1">
      <alignment horizontal="center"/>
    </xf>
    <xf numFmtId="1" fontId="0" fillId="10" borderId="0" xfId="0" applyNumberFormat="1" applyFill="1"/>
    <xf numFmtId="1" fontId="0" fillId="0" borderId="0" xfId="0" applyNumberFormat="1" applyFill="1"/>
    <xf numFmtId="1" fontId="1" fillId="0" borderId="0" xfId="0" applyNumberFormat="1" applyFont="1" applyFill="1"/>
    <xf numFmtId="0" fontId="2" fillId="10" borderId="0" xfId="0" applyFont="1" applyFill="1"/>
    <xf numFmtId="0" fontId="21" fillId="0" borderId="0" xfId="0" applyFont="1"/>
    <xf numFmtId="0" fontId="26" fillId="8" borderId="4" xfId="0" applyFont="1" applyFill="1" applyBorder="1" applyAlignment="1">
      <alignment wrapText="1"/>
    </xf>
    <xf numFmtId="0" fontId="27" fillId="0" borderId="4" xfId="0" applyFont="1" applyBorder="1" applyAlignment="1">
      <alignment vertical="center" wrapText="1"/>
    </xf>
    <xf numFmtId="0" fontId="27" fillId="0" borderId="4" xfId="0" applyFont="1" applyBorder="1" applyAlignment="1">
      <alignment horizontal="center" vertical="center" wrapText="1"/>
    </xf>
    <xf numFmtId="0" fontId="27" fillId="0" borderId="4" xfId="0" applyFont="1" applyFill="1" applyBorder="1" applyAlignment="1">
      <alignment vertical="center" wrapText="1"/>
    </xf>
    <xf numFmtId="0" fontId="0" fillId="0" borderId="4" xfId="0" applyBorder="1" applyAlignment="1">
      <alignment vertical="center"/>
    </xf>
    <xf numFmtId="0" fontId="27" fillId="0" borderId="0" xfId="0" applyFont="1" applyFill="1" applyBorder="1" applyAlignment="1">
      <alignment horizontal="left" vertical="center"/>
    </xf>
    <xf numFmtId="0" fontId="0" fillId="0" borderId="4" xfId="0" applyBorder="1"/>
    <xf numFmtId="0" fontId="0" fillId="0" borderId="0" xfId="0" applyFill="1" applyAlignment="1">
      <alignment vertical="center"/>
    </xf>
    <xf numFmtId="0" fontId="1" fillId="0" borderId="0" xfId="0" applyFont="1" applyFill="1" applyAlignment="1">
      <alignment vertical="center"/>
    </xf>
    <xf numFmtId="177" fontId="0" fillId="0" borderId="0" xfId="0" applyNumberFormat="1"/>
    <xf numFmtId="0" fontId="27" fillId="0" borderId="0" xfId="0" applyFont="1" applyFill="1" applyBorder="1"/>
    <xf numFmtId="0" fontId="2" fillId="0" borderId="0" xfId="6" applyFont="1" applyAlignment="1">
      <alignment vertical="center"/>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vertical="center"/>
    </xf>
    <xf numFmtId="0" fontId="1" fillId="0" borderId="4" xfId="0" applyFont="1" applyBorder="1" applyAlignment="1">
      <alignment horizontal="left" vertical="center"/>
    </xf>
    <xf numFmtId="0" fontId="0" fillId="0" borderId="0" xfId="0" applyBorder="1"/>
    <xf numFmtId="0" fontId="26" fillId="8" borderId="4" xfId="0" applyFont="1" applyFill="1" applyBorder="1" applyAlignment="1">
      <alignment horizontal="center"/>
    </xf>
    <xf numFmtId="0" fontId="26" fillId="8" borderId="4" xfId="0" applyFont="1" applyFill="1" applyBorder="1" applyAlignment="1">
      <alignment horizontal="center" wrapText="1"/>
    </xf>
    <xf numFmtId="0" fontId="27" fillId="0" borderId="4" xfId="0" applyFont="1" applyBorder="1" applyAlignment="1">
      <alignment horizontal="center" wrapText="1"/>
    </xf>
    <xf numFmtId="0" fontId="27" fillId="0" borderId="4" xfId="0" applyFont="1" applyBorder="1" applyAlignment="1">
      <alignment horizontal="left" wrapText="1"/>
    </xf>
    <xf numFmtId="0" fontId="0" fillId="13" borderId="4" xfId="0" applyFill="1" applyBorder="1"/>
    <xf numFmtId="0" fontId="1" fillId="0" borderId="0" xfId="6" applyFont="1"/>
    <xf numFmtId="0" fontId="1" fillId="9" borderId="21" xfId="0" applyFont="1" applyFill="1" applyBorder="1" applyAlignment="1" applyProtection="1">
      <alignment horizontal="left" vertical="top" wrapText="1"/>
      <protection locked="0"/>
    </xf>
    <xf numFmtId="0" fontId="0" fillId="11" borderId="21" xfId="0" applyFill="1" applyBorder="1" applyAlignment="1" applyProtection="1">
      <alignment horizontal="left" vertical="top" wrapText="1"/>
      <protection locked="0"/>
    </xf>
    <xf numFmtId="0" fontId="1" fillId="11" borderId="21" xfId="0" applyFont="1" applyFill="1" applyBorder="1" applyAlignment="1" applyProtection="1">
      <alignment horizontal="left" vertical="top" wrapText="1"/>
      <protection locked="0"/>
    </xf>
    <xf numFmtId="49" fontId="0" fillId="9" borderId="21" xfId="0" applyNumberFormat="1" applyFill="1" applyBorder="1" applyAlignment="1" applyProtection="1">
      <alignment horizontal="left" vertical="top" wrapText="1"/>
      <protection locked="0"/>
    </xf>
    <xf numFmtId="49" fontId="1" fillId="9" borderId="21" xfId="0" applyNumberFormat="1" applyFont="1" applyFill="1" applyBorder="1" applyAlignment="1" applyProtection="1">
      <alignment horizontal="left" vertical="top" wrapText="1"/>
      <protection locked="0"/>
    </xf>
    <xf numFmtId="49" fontId="1" fillId="11" borderId="21" xfId="4" applyNumberFormat="1" applyFont="1" applyFill="1" applyBorder="1" applyAlignment="1" applyProtection="1">
      <alignment horizontal="left" vertical="top" wrapText="1"/>
      <protection locked="0"/>
    </xf>
    <xf numFmtId="0" fontId="1" fillId="11" borderId="21" xfId="4" applyNumberFormat="1" applyFont="1" applyFill="1" applyBorder="1" applyAlignment="1" applyProtection="1">
      <alignment horizontal="left" vertical="top" wrapText="1"/>
      <protection locked="0"/>
    </xf>
    <xf numFmtId="0" fontId="1" fillId="11" borderId="21" xfId="4" applyFont="1" applyFill="1" applyBorder="1" applyAlignment="1" applyProtection="1">
      <alignment horizontal="left" vertical="top" wrapText="1"/>
      <protection locked="0"/>
    </xf>
    <xf numFmtId="49" fontId="0" fillId="11" borderId="21" xfId="0" applyNumberFormat="1" applyFill="1" applyBorder="1" applyAlignment="1" applyProtection="1">
      <alignment horizontal="left" vertical="top" wrapText="1"/>
      <protection locked="0"/>
    </xf>
    <xf numFmtId="0" fontId="9" fillId="9" borderId="21" xfId="4" applyFill="1" applyBorder="1" applyAlignment="1" applyProtection="1">
      <alignment horizontal="left" vertical="top"/>
      <protection locked="0"/>
    </xf>
    <xf numFmtId="0" fontId="1" fillId="9" borderId="21" xfId="4" applyFont="1" applyFill="1" applyBorder="1" applyAlignment="1" applyProtection="1">
      <alignment horizontal="left" vertical="top"/>
      <protection locked="0"/>
    </xf>
    <xf numFmtId="0" fontId="0" fillId="9" borderId="21" xfId="0" applyFill="1" applyBorder="1" applyAlignment="1" applyProtection="1">
      <alignment horizontal="left" vertical="top"/>
      <protection locked="0"/>
    </xf>
    <xf numFmtId="171" fontId="1" fillId="11" borderId="21" xfId="0" applyNumberFormat="1" applyFont="1" applyFill="1" applyBorder="1" applyAlignment="1" applyProtection="1">
      <alignment horizontal="left" vertical="top" wrapText="1"/>
      <protection locked="0"/>
    </xf>
    <xf numFmtId="0" fontId="1" fillId="11" borderId="21" xfId="0" applyFont="1" applyFill="1" applyBorder="1" applyAlignment="1">
      <alignment horizontal="left" vertical="top" wrapText="1"/>
    </xf>
    <xf numFmtId="0" fontId="12" fillId="11" borderId="21" xfId="0" applyFont="1" applyFill="1" applyBorder="1" applyAlignment="1" applyProtection="1">
      <alignment horizontal="left" vertical="top" wrapText="1"/>
      <protection locked="0"/>
    </xf>
    <xf numFmtId="0" fontId="37" fillId="0" borderId="0" xfId="0" applyFont="1" applyFill="1" applyAlignment="1">
      <alignment vertical="center"/>
    </xf>
    <xf numFmtId="0" fontId="2" fillId="0" borderId="0" xfId="0" applyFont="1" applyFill="1" applyAlignment="1">
      <alignment vertical="center"/>
    </xf>
    <xf numFmtId="0" fontId="36" fillId="0" borderId="0" xfId="0" applyFont="1" applyAlignment="1">
      <alignment vertical="center"/>
    </xf>
    <xf numFmtId="1" fontId="0" fillId="0" borderId="0" xfId="0" applyNumberFormat="1" applyAlignment="1">
      <alignment vertical="center"/>
    </xf>
    <xf numFmtId="0" fontId="38" fillId="0" borderId="0" xfId="0" applyFont="1" applyAlignment="1">
      <alignment vertical="center"/>
    </xf>
    <xf numFmtId="0" fontId="2" fillId="8" borderId="4" xfId="0" applyFont="1" applyFill="1" applyBorder="1"/>
    <xf numFmtId="1" fontId="0" fillId="10" borderId="0" xfId="0" applyNumberFormat="1" applyFill="1" applyAlignment="1">
      <alignment vertical="center"/>
    </xf>
    <xf numFmtId="0" fontId="39" fillId="0" borderId="0" xfId="0" applyFont="1" applyFill="1" applyAlignment="1">
      <alignment vertical="center"/>
    </xf>
    <xf numFmtId="0" fontId="28" fillId="9" borderId="4" xfId="0" applyFont="1" applyFill="1" applyBorder="1" applyAlignment="1"/>
    <xf numFmtId="0" fontId="0" fillId="0" borderId="0" xfId="0" applyFill="1" applyBorder="1"/>
    <xf numFmtId="0" fontId="18" fillId="0" borderId="0" xfId="0" applyFont="1" applyFill="1" applyBorder="1"/>
    <xf numFmtId="0" fontId="0" fillId="0" borderId="0" xfId="0" applyNumberFormat="1" applyFill="1" applyBorder="1" applyAlignment="1">
      <alignment wrapText="1"/>
    </xf>
    <xf numFmtId="0" fontId="12" fillId="0" borderId="0" xfId="0" applyFont="1" applyFill="1" applyBorder="1" applyAlignment="1">
      <alignment wrapText="1"/>
    </xf>
    <xf numFmtId="0" fontId="1" fillId="0" borderId="11" xfId="0" applyFont="1" applyBorder="1" applyAlignment="1">
      <alignment horizontal="right"/>
    </xf>
    <xf numFmtId="0" fontId="2" fillId="8" borderId="11"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horizont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19" xfId="0" applyFont="1" applyBorder="1" applyAlignment="1">
      <alignment horizontal="center" vertical="center"/>
    </xf>
    <xf numFmtId="0" fontId="1" fillId="0" borderId="22" xfId="0" applyFont="1" applyBorder="1" applyAlignment="1">
      <alignment horizontal="center" vertical="center"/>
    </xf>
    <xf numFmtId="0" fontId="1" fillId="0" borderId="22" xfId="6" applyFont="1" applyBorder="1" applyAlignment="1">
      <alignment horizontal="center" vertical="center"/>
    </xf>
    <xf numFmtId="0" fontId="0" fillId="0" borderId="4" xfId="0" applyNumberFormat="1" applyFill="1" applyBorder="1" applyAlignment="1" applyProtection="1">
      <alignment vertical="center"/>
      <protection locked="0"/>
    </xf>
    <xf numFmtId="0" fontId="0" fillId="0" borderId="23" xfId="0" applyBorder="1" applyAlignment="1">
      <alignment horizontal="left"/>
    </xf>
    <xf numFmtId="0" fontId="2" fillId="10" borderId="23" xfId="0" applyFont="1" applyFill="1" applyBorder="1" applyAlignment="1">
      <alignment horizontal="left" wrapText="1"/>
    </xf>
    <xf numFmtId="0" fontId="1" fillId="0" borderId="24" xfId="0" applyFont="1" applyBorder="1" applyAlignment="1">
      <alignment horizontal="left" vertical="center" wrapText="1"/>
    </xf>
    <xf numFmtId="0" fontId="1" fillId="0" borderId="24" xfId="0" applyFont="1" applyBorder="1" applyAlignment="1">
      <alignment horizontal="left" vertical="center"/>
    </xf>
    <xf numFmtId="0" fontId="2" fillId="5" borderId="21" xfId="0" applyFont="1" applyFill="1" applyBorder="1" applyAlignment="1">
      <alignment horizontal="left" vertical="top" wrapText="1"/>
    </xf>
    <xf numFmtId="0" fontId="0" fillId="5" borderId="21" xfId="0" applyFill="1" applyBorder="1" applyAlignment="1">
      <alignment horizontal="left" vertical="top" wrapText="1"/>
    </xf>
    <xf numFmtId="0" fontId="0" fillId="12" borderId="21" xfId="0" applyFill="1" applyBorder="1" applyAlignment="1" applyProtection="1">
      <alignment horizontal="left" vertical="top" wrapText="1"/>
      <protection hidden="1"/>
    </xf>
    <xf numFmtId="0" fontId="0" fillId="9" borderId="21" xfId="0" applyFill="1" applyBorder="1" applyAlignment="1">
      <alignment horizontal="left" vertical="top" wrapText="1"/>
    </xf>
    <xf numFmtId="0" fontId="0" fillId="9" borderId="21" xfId="0" applyFill="1" applyBorder="1" applyAlignment="1" applyProtection="1">
      <alignment horizontal="left"/>
      <protection locked="0"/>
    </xf>
    <xf numFmtId="0" fontId="0" fillId="11" borderId="21" xfId="0" applyFill="1" applyBorder="1" applyAlignment="1">
      <alignment horizontal="left" vertical="top" wrapText="1"/>
    </xf>
    <xf numFmtId="0" fontId="0" fillId="11" borderId="21" xfId="0" applyFill="1" applyBorder="1" applyAlignment="1" applyProtection="1">
      <alignment horizontal="left"/>
      <protection locked="0"/>
    </xf>
    <xf numFmtId="0" fontId="12" fillId="11" borderId="21" xfId="0" applyFont="1" applyFill="1" applyBorder="1" applyAlignment="1" applyProtection="1">
      <alignment horizontal="left"/>
      <protection locked="0"/>
    </xf>
    <xf numFmtId="49" fontId="0" fillId="9" borderId="21" xfId="0" applyNumberFormat="1" applyFill="1" applyBorder="1" applyAlignment="1" applyProtection="1">
      <alignment horizontal="left"/>
      <protection locked="0"/>
    </xf>
    <xf numFmtId="49" fontId="0" fillId="11" borderId="21" xfId="0" applyNumberFormat="1" applyFill="1" applyBorder="1" applyAlignment="1" applyProtection="1">
      <alignment horizontal="left"/>
      <protection locked="0"/>
    </xf>
    <xf numFmtId="0" fontId="0" fillId="9" borderId="21" xfId="0" applyFont="1" applyFill="1" applyBorder="1" applyAlignment="1">
      <alignment horizontal="left" vertical="top"/>
    </xf>
    <xf numFmtId="0" fontId="0" fillId="9" borderId="21" xfId="0" applyFont="1" applyFill="1" applyBorder="1" applyAlignment="1" applyProtection="1">
      <alignment horizontal="left" vertical="top"/>
      <protection locked="0"/>
    </xf>
    <xf numFmtId="0" fontId="9" fillId="9" borderId="21" xfId="4" applyFill="1" applyBorder="1" applyAlignment="1" applyProtection="1">
      <alignment horizontal="left"/>
      <protection locked="0"/>
    </xf>
    <xf numFmtId="0" fontId="9" fillId="9" borderId="21" xfId="4" applyFont="1" applyFill="1" applyBorder="1" applyAlignment="1" applyProtection="1">
      <alignment horizontal="left"/>
      <protection locked="0"/>
    </xf>
    <xf numFmtId="171" fontId="1" fillId="11" borderId="21" xfId="4" applyNumberFormat="1" applyFont="1" applyFill="1" applyBorder="1" applyAlignment="1" applyProtection="1">
      <alignment horizontal="left"/>
      <protection locked="0"/>
    </xf>
    <xf numFmtId="171" fontId="1" fillId="11" borderId="21" xfId="0" applyNumberFormat="1" applyFont="1" applyFill="1" applyBorder="1" applyAlignment="1" applyProtection="1">
      <alignment horizontal="left"/>
      <protection locked="0"/>
    </xf>
    <xf numFmtId="0" fontId="1" fillId="11" borderId="21" xfId="0" applyFont="1" applyFill="1" applyBorder="1" applyAlignment="1" applyProtection="1">
      <alignment horizontal="left"/>
      <protection locked="0"/>
    </xf>
    <xf numFmtId="0" fontId="0" fillId="14" borderId="0" xfId="0" applyFill="1" applyBorder="1" applyAlignment="1">
      <alignment horizontal="left" vertical="top" wrapText="1"/>
    </xf>
    <xf numFmtId="0" fontId="3" fillId="0" borderId="0" xfId="0" applyFont="1" applyFill="1" applyBorder="1" applyAlignment="1">
      <alignment horizontal="left"/>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9" fillId="0" borderId="0" xfId="4" applyFont="1" applyBorder="1" applyAlignment="1" applyProtection="1">
      <alignment horizontal="left"/>
    </xf>
    <xf numFmtId="0" fontId="36" fillId="0" borderId="0" xfId="6" applyFont="1" applyAlignment="1">
      <alignment horizontal="right"/>
    </xf>
    <xf numFmtId="0" fontId="36" fillId="0" borderId="0" xfId="6" applyFont="1"/>
    <xf numFmtId="0" fontId="1" fillId="5" borderId="25" xfId="0" applyFont="1" applyFill="1" applyBorder="1" applyAlignment="1">
      <alignment horizontal="left" vertical="center"/>
    </xf>
    <xf numFmtId="0" fontId="1" fillId="5" borderId="19" xfId="0" applyFont="1" applyFill="1" applyBorder="1" applyAlignment="1">
      <alignment horizontal="left" vertical="center"/>
    </xf>
    <xf numFmtId="0" fontId="1" fillId="9" borderId="19" xfId="0" applyFont="1" applyFill="1" applyBorder="1" applyAlignment="1">
      <alignment horizontal="left" vertical="center"/>
    </xf>
    <xf numFmtId="0" fontId="1" fillId="9" borderId="22" xfId="0" applyFont="1" applyFill="1" applyBorder="1" applyAlignment="1">
      <alignment horizontal="left" vertical="center"/>
    </xf>
    <xf numFmtId="0" fontId="1" fillId="9" borderId="26" xfId="0" applyFont="1" applyFill="1" applyBorder="1" applyAlignment="1">
      <alignment horizontal="left" vertical="center"/>
    </xf>
    <xf numFmtId="0" fontId="2" fillId="0" borderId="23" xfId="0" applyFont="1" applyFill="1" applyBorder="1" applyAlignment="1">
      <alignment horizontal="left"/>
    </xf>
    <xf numFmtId="11" fontId="1" fillId="0" borderId="4" xfId="0" applyNumberFormat="1" applyFont="1" applyFill="1" applyBorder="1" applyAlignment="1" applyProtection="1">
      <alignment vertical="center"/>
      <protection locked="0"/>
    </xf>
    <xf numFmtId="11" fontId="1" fillId="9" borderId="4" xfId="0" applyNumberFormat="1" applyFont="1" applyFill="1" applyBorder="1" applyAlignment="1" applyProtection="1">
      <alignment vertical="center"/>
      <protection locked="0"/>
    </xf>
    <xf numFmtId="2" fontId="1" fillId="0" borderId="4" xfId="0" applyNumberFormat="1" applyFont="1" applyFill="1" applyBorder="1" applyAlignment="1" applyProtection="1">
      <alignment vertical="center"/>
      <protection locked="0"/>
    </xf>
    <xf numFmtId="1" fontId="1" fillId="0" borderId="4" xfId="0" applyNumberFormat="1" applyFont="1" applyFill="1" applyBorder="1" applyAlignment="1" applyProtection="1">
      <alignment vertical="center"/>
      <protection locked="0"/>
    </xf>
    <xf numFmtId="2" fontId="1" fillId="9" borderId="4" xfId="0" applyNumberFormat="1" applyFont="1" applyFill="1" applyBorder="1" applyAlignment="1" applyProtection="1">
      <alignment vertical="center"/>
      <protection locked="0"/>
    </xf>
    <xf numFmtId="172" fontId="1" fillId="9" borderId="4" xfId="0" applyNumberFormat="1" applyFont="1" applyFill="1" applyBorder="1" applyAlignment="1" applyProtection="1">
      <alignment vertical="center"/>
      <protection locked="0"/>
    </xf>
    <xf numFmtId="185" fontId="1" fillId="9" borderId="4" xfId="1" applyNumberFormat="1" applyFont="1" applyFill="1" applyBorder="1" applyAlignment="1" applyProtection="1">
      <alignment vertical="center"/>
      <protection locked="0"/>
    </xf>
    <xf numFmtId="186" fontId="1" fillId="9" borderId="4" xfId="1" applyNumberFormat="1" applyFont="1" applyFill="1" applyBorder="1" applyAlignment="1" applyProtection="1">
      <alignment vertical="center"/>
      <protection locked="0"/>
    </xf>
    <xf numFmtId="11" fontId="1" fillId="8" borderId="4" xfId="6" applyNumberFormat="1" applyFill="1" applyBorder="1" applyAlignment="1" applyProtection="1">
      <alignment vertical="center"/>
      <protection hidden="1"/>
    </xf>
    <xf numFmtId="2" fontId="1" fillId="8" borderId="4" xfId="6" applyNumberFormat="1" applyFill="1" applyBorder="1" applyAlignment="1" applyProtection="1">
      <alignment vertical="center"/>
      <protection hidden="1"/>
    </xf>
    <xf numFmtId="1" fontId="1" fillId="8" borderId="4" xfId="6" applyNumberFormat="1" applyFill="1" applyBorder="1" applyAlignment="1" applyProtection="1">
      <alignment vertical="center"/>
      <protection hidden="1"/>
    </xf>
    <xf numFmtId="0" fontId="40" fillId="0" borderId="0" xfId="0" applyFont="1" applyAlignment="1">
      <alignment vertical="center"/>
    </xf>
    <xf numFmtId="0" fontId="1" fillId="0" borderId="0" xfId="0" applyFont="1" applyAlignment="1">
      <alignment vertical="center" wrapText="1"/>
    </xf>
    <xf numFmtId="0" fontId="1" fillId="0" borderId="0" xfId="0" applyFont="1" applyFill="1" applyAlignment="1">
      <alignment vertical="center" wrapText="1"/>
    </xf>
    <xf numFmtId="0" fontId="29" fillId="0" borderId="0" xfId="0" applyFont="1" applyFill="1" applyAlignment="1">
      <alignment horizontal="center"/>
    </xf>
    <xf numFmtId="0" fontId="0" fillId="0" borderId="4" xfId="0" applyFill="1" applyBorder="1" applyAlignment="1" applyProtection="1">
      <alignment horizontal="left"/>
      <protection locked="0"/>
    </xf>
    <xf numFmtId="0" fontId="41" fillId="0" borderId="0" xfId="0" applyFont="1" applyFill="1" applyAlignment="1">
      <alignment vertical="center"/>
    </xf>
    <xf numFmtId="0" fontId="35" fillId="0" borderId="0" xfId="0" applyFont="1" applyFill="1" applyAlignment="1">
      <alignment horizontal="center" vertical="center"/>
    </xf>
    <xf numFmtId="0" fontId="21" fillId="0" borderId="0" xfId="0" applyFont="1" applyFill="1" applyAlignment="1">
      <alignment vertical="center"/>
    </xf>
    <xf numFmtId="0" fontId="42" fillId="0" borderId="0" xfId="0" applyFont="1" applyFill="1" applyAlignment="1">
      <alignment vertical="center"/>
    </xf>
    <xf numFmtId="0" fontId="42" fillId="0" borderId="0" xfId="0" applyFont="1" applyFill="1" applyAlignment="1">
      <alignment horizontal="right" vertical="center"/>
    </xf>
    <xf numFmtId="0" fontId="43" fillId="0" borderId="0" xfId="0" applyFont="1" applyFill="1" applyAlignment="1">
      <alignment vertical="center"/>
    </xf>
    <xf numFmtId="0" fontId="36" fillId="0" borderId="0" xfId="0" applyFont="1" applyFill="1" applyAlignment="1">
      <alignment horizontal="left" vertical="center"/>
    </xf>
    <xf numFmtId="1" fontId="2" fillId="10" borderId="0" xfId="0" applyNumberFormat="1" applyFont="1" applyFill="1" applyAlignment="1">
      <alignment vertical="center"/>
    </xf>
    <xf numFmtId="172" fontId="0" fillId="0" borderId="0" xfId="0" applyNumberFormat="1"/>
    <xf numFmtId="172" fontId="2" fillId="10" borderId="0" xfId="0" applyNumberFormat="1" applyFont="1" applyFill="1"/>
    <xf numFmtId="1" fontId="2" fillId="10" borderId="0" xfId="0" applyNumberFormat="1" applyFont="1" applyFill="1"/>
    <xf numFmtId="0" fontId="44" fillId="0" borderId="0" xfId="0" applyFont="1" applyAlignment="1">
      <alignment vertical="center"/>
    </xf>
    <xf numFmtId="0" fontId="44" fillId="0" borderId="0" xfId="0" applyFont="1" applyAlignment="1">
      <alignment horizontal="right" vertical="center"/>
    </xf>
    <xf numFmtId="0" fontId="44" fillId="0" borderId="0" xfId="0" applyFont="1" applyFill="1" applyAlignment="1">
      <alignment vertical="center"/>
    </xf>
    <xf numFmtId="0" fontId="17" fillId="0" borderId="0" xfId="0" applyFont="1"/>
    <xf numFmtId="1" fontId="1" fillId="0" borderId="0" xfId="6" applyNumberFormat="1" applyAlignment="1">
      <alignment horizontal="right"/>
    </xf>
    <xf numFmtId="2" fontId="0" fillId="0" borderId="4" xfId="0" applyNumberFormat="1" applyFill="1" applyBorder="1" applyAlignment="1" applyProtection="1">
      <alignment vertical="center"/>
      <protection locked="0"/>
    </xf>
    <xf numFmtId="1" fontId="0" fillId="0" borderId="4" xfId="0" applyNumberFormat="1" applyFill="1" applyBorder="1" applyAlignment="1" applyProtection="1">
      <alignment vertical="center"/>
      <protection locked="0"/>
    </xf>
    <xf numFmtId="0" fontId="17" fillId="0" borderId="0" xfId="0" applyFont="1" applyAlignment="1">
      <alignment vertical="center"/>
    </xf>
    <xf numFmtId="0" fontId="30" fillId="0" borderId="0" xfId="0" applyFont="1" applyFill="1" applyBorder="1"/>
    <xf numFmtId="0" fontId="17" fillId="0" borderId="0" xfId="0" applyFont="1" applyBorder="1"/>
    <xf numFmtId="0" fontId="1" fillId="0" borderId="4" xfId="0" applyFont="1" applyFill="1" applyBorder="1" applyAlignment="1" applyProtection="1">
      <protection locked="0"/>
    </xf>
    <xf numFmtId="0" fontId="0" fillId="0" borderId="4" xfId="0" applyFill="1" applyBorder="1" applyAlignment="1" applyProtection="1">
      <protection locked="0"/>
    </xf>
    <xf numFmtId="1" fontId="36" fillId="0" borderId="4" xfId="0" applyNumberFormat="1" applyFont="1" applyFill="1" applyBorder="1" applyAlignment="1" applyProtection="1">
      <protection locked="0"/>
    </xf>
    <xf numFmtId="0" fontId="1" fillId="0" borderId="22" xfId="0" applyFont="1" applyFill="1" applyBorder="1" applyAlignment="1" applyProtection="1">
      <protection locked="0"/>
    </xf>
    <xf numFmtId="1" fontId="1" fillId="9" borderId="4" xfId="0" applyNumberFormat="1" applyFont="1" applyFill="1" applyBorder="1" applyAlignment="1" applyProtection="1">
      <alignment vertical="center"/>
      <protection locked="0"/>
    </xf>
    <xf numFmtId="11" fontId="36" fillId="0" borderId="4" xfId="0" applyNumberFormat="1" applyFont="1" applyFill="1" applyBorder="1" applyAlignment="1" applyProtection="1">
      <protection locked="0"/>
    </xf>
    <xf numFmtId="43" fontId="1" fillId="9" borderId="4" xfId="1" applyNumberFormat="1" applyFont="1" applyFill="1" applyBorder="1" applyAlignment="1" applyProtection="1">
      <alignment vertical="center"/>
      <protection locked="0"/>
    </xf>
    <xf numFmtId="11" fontId="0" fillId="0" borderId="4" xfId="0" applyNumberFormat="1" applyFill="1" applyBorder="1" applyAlignment="1" applyProtection="1">
      <alignment vertical="center"/>
      <protection locked="0"/>
    </xf>
    <xf numFmtId="0" fontId="1" fillId="10" borderId="0" xfId="0" applyFont="1" applyFill="1" applyAlignment="1">
      <alignment vertical="center"/>
    </xf>
    <xf numFmtId="9" fontId="0" fillId="0" borderId="0" xfId="0" applyNumberFormat="1" applyFill="1"/>
    <xf numFmtId="0" fontId="36" fillId="9" borderId="0" xfId="0" applyFont="1" applyFill="1" applyAlignment="1">
      <alignment vertical="center"/>
    </xf>
    <xf numFmtId="0" fontId="1" fillId="9" borderId="22"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0" fillId="16" borderId="36" xfId="0" applyFill="1" applyBorder="1" applyAlignment="1" applyProtection="1">
      <alignment horizontal="left" vertical="top" wrapText="1"/>
      <protection locked="0"/>
    </xf>
    <xf numFmtId="0" fontId="0" fillId="17" borderId="36" xfId="0" applyFill="1" applyBorder="1" applyAlignment="1" applyProtection="1">
      <alignment horizontal="left" vertical="top" wrapText="1"/>
      <protection locked="0"/>
    </xf>
    <xf numFmtId="49" fontId="0" fillId="16" borderId="36" xfId="0" applyNumberFormat="1" applyFill="1" applyBorder="1" applyAlignment="1" applyProtection="1">
      <alignment horizontal="left" vertical="top" wrapText="1"/>
      <protection locked="0"/>
    </xf>
    <xf numFmtId="0" fontId="1" fillId="16" borderId="36" xfId="4" applyFont="1" applyFill="1" applyBorder="1" applyAlignment="1" applyProtection="1">
      <alignment horizontal="left" vertical="top"/>
      <protection locked="0"/>
    </xf>
    <xf numFmtId="0" fontId="29" fillId="0" borderId="0" xfId="0" applyFont="1" applyFill="1" applyAlignment="1">
      <alignment horizontal="center" vertical="center"/>
    </xf>
    <xf numFmtId="0" fontId="18" fillId="18" borderId="21" xfId="0" applyFont="1" applyFill="1" applyBorder="1" applyAlignment="1" applyProtection="1">
      <alignment horizontal="left" vertical="top" wrapText="1"/>
      <protection hidden="1"/>
    </xf>
    <xf numFmtId="0" fontId="12" fillId="18" borderId="21" xfId="0" applyFont="1" applyFill="1" applyBorder="1" applyAlignment="1" applyProtection="1">
      <alignment horizontal="left" vertical="top" wrapText="1"/>
      <protection locked="0"/>
    </xf>
    <xf numFmtId="49" fontId="12" fillId="18" borderId="21" xfId="0" applyNumberFormat="1" applyFont="1" applyFill="1" applyBorder="1" applyAlignment="1" applyProtection="1">
      <alignment horizontal="left" vertical="top" wrapText="1"/>
      <protection locked="0"/>
    </xf>
    <xf numFmtId="0" fontId="12" fillId="18" borderId="21" xfId="4" applyFont="1" applyFill="1" applyBorder="1" applyAlignment="1" applyProtection="1">
      <alignment horizontal="left" vertical="top" wrapText="1"/>
      <protection locked="0"/>
    </xf>
    <xf numFmtId="0" fontId="12" fillId="18" borderId="0" xfId="0" applyFont="1" applyFill="1" applyAlignment="1">
      <alignment wrapText="1"/>
    </xf>
    <xf numFmtId="171" fontId="12" fillId="18" borderId="21" xfId="4" applyNumberFormat="1" applyFont="1" applyFill="1" applyBorder="1" applyAlignment="1" applyProtection="1">
      <alignment horizontal="left" vertical="top" wrapText="1"/>
      <protection locked="0"/>
    </xf>
    <xf numFmtId="0" fontId="12" fillId="18" borderId="21" xfId="0" applyFont="1" applyFill="1" applyBorder="1" applyAlignment="1">
      <alignment horizontal="left" vertical="top" wrapText="1"/>
    </xf>
    <xf numFmtId="0" fontId="46" fillId="18" borderId="21" xfId="4" applyFont="1" applyFill="1" applyBorder="1" applyAlignment="1" applyProtection="1">
      <alignment horizontal="left" vertical="top"/>
      <protection locked="0"/>
    </xf>
    <xf numFmtId="0" fontId="12" fillId="18" borderId="21" xfId="4" applyFont="1" applyFill="1" applyBorder="1" applyAlignment="1" applyProtection="1">
      <alignment horizontal="left" vertical="top"/>
      <protection locked="0"/>
    </xf>
    <xf numFmtId="0" fontId="1" fillId="18" borderId="22" xfId="0" applyFont="1" applyFill="1" applyBorder="1" applyAlignment="1">
      <alignment horizontal="center" vertical="center"/>
    </xf>
    <xf numFmtId="0" fontId="1" fillId="19" borderId="0" xfId="6" applyFill="1"/>
    <xf numFmtId="0" fontId="48" fillId="19" borderId="0" xfId="0" applyFont="1" applyFill="1"/>
    <xf numFmtId="0" fontId="2" fillId="6" borderId="0" xfId="6" applyFont="1" applyFill="1"/>
    <xf numFmtId="0" fontId="1" fillId="6" borderId="0" xfId="6" applyFont="1" applyFill="1"/>
    <xf numFmtId="49" fontId="1" fillId="6" borderId="0" xfId="6" applyNumberFormat="1" applyFont="1" applyFill="1"/>
    <xf numFmtId="0" fontId="0" fillId="6" borderId="0" xfId="0" applyFill="1" applyBorder="1" applyAlignment="1">
      <alignment vertical="top"/>
    </xf>
    <xf numFmtId="0" fontId="0" fillId="0" borderId="4" xfId="0" applyFill="1" applyBorder="1" applyAlignment="1" applyProtection="1">
      <alignment horizontal="right" vertical="center" wrapText="1"/>
      <protection locked="0"/>
    </xf>
    <xf numFmtId="0" fontId="1" fillId="0" borderId="4" xfId="0" applyFont="1" applyFill="1" applyBorder="1" applyAlignment="1" applyProtection="1">
      <alignment horizontal="right" vertical="center"/>
      <protection locked="0"/>
    </xf>
    <xf numFmtId="0" fontId="1" fillId="0" borderId="6" xfId="0" applyFont="1" applyFill="1" applyBorder="1" applyAlignment="1" applyProtection="1">
      <alignment horizontal="right" vertical="center" wrapText="1"/>
      <protection locked="0"/>
    </xf>
    <xf numFmtId="0" fontId="1" fillId="0" borderId="4" xfId="0" applyFont="1" applyFill="1" applyBorder="1" applyAlignment="1" applyProtection="1">
      <alignment horizontal="right" vertical="center" wrapText="1"/>
      <protection locked="0"/>
    </xf>
    <xf numFmtId="0" fontId="0" fillId="20" borderId="0" xfId="0" applyFill="1"/>
    <xf numFmtId="0" fontId="47" fillId="15" borderId="35" xfId="5" applyAlignment="1">
      <alignment wrapText="1"/>
    </xf>
    <xf numFmtId="190" fontId="47" fillId="15" borderId="35" xfId="5" applyNumberFormat="1" applyAlignment="1">
      <alignment wrapText="1"/>
    </xf>
    <xf numFmtId="9" fontId="0" fillId="0" borderId="0" xfId="0" applyNumberFormat="1"/>
    <xf numFmtId="0" fontId="47" fillId="15" borderId="35" xfId="5"/>
    <xf numFmtId="10" fontId="47" fillId="15" borderId="35" xfId="5" applyNumberFormat="1"/>
    <xf numFmtId="0" fontId="1" fillId="9" borderId="28" xfId="0" applyFont="1" applyFill="1" applyBorder="1" applyAlignment="1">
      <alignment horizontal="left" vertical="center" wrapText="1"/>
    </xf>
    <xf numFmtId="0" fontId="2" fillId="5" borderId="11" xfId="0" applyFont="1" applyFill="1" applyBorder="1" applyAlignment="1">
      <alignment horizontal="left"/>
    </xf>
    <xf numFmtId="0" fontId="1" fillId="0" borderId="11" xfId="0" applyFont="1" applyFill="1" applyBorder="1" applyAlignment="1" applyProtection="1">
      <alignment horizontal="left" vertical="center"/>
      <protection locked="0"/>
    </xf>
    <xf numFmtId="0" fontId="0" fillId="0" borderId="11" xfId="0" applyFill="1" applyBorder="1" applyAlignment="1" applyProtection="1">
      <alignment horizontal="left" vertical="center"/>
      <protection locked="0"/>
    </xf>
    <xf numFmtId="0" fontId="0" fillId="7" borderId="11" xfId="0" applyFill="1" applyBorder="1" applyAlignment="1">
      <alignment horizontal="left"/>
    </xf>
    <xf numFmtId="0" fontId="49" fillId="0" borderId="4" xfId="0" applyFont="1" applyBorder="1" applyAlignment="1">
      <alignment vertical="top"/>
    </xf>
    <xf numFmtId="0" fontId="1" fillId="0" borderId="4" xfId="0" applyFont="1" applyFill="1" applyBorder="1" applyAlignment="1" applyProtection="1">
      <alignment horizontal="left" vertical="center"/>
      <protection locked="0"/>
    </xf>
    <xf numFmtId="0" fontId="1" fillId="0" borderId="22" xfId="6" applyBorder="1" applyAlignment="1">
      <alignment horizontal="center"/>
    </xf>
    <xf numFmtId="0" fontId="6" fillId="6" borderId="0" xfId="0" applyFont="1" applyFill="1" applyAlignment="1">
      <alignment horizontal="center"/>
    </xf>
    <xf numFmtId="0" fontId="1" fillId="5" borderId="9"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2" fillId="5" borderId="31" xfId="0" applyFont="1" applyFill="1" applyBorder="1" applyAlignment="1">
      <alignment horizontal="center" textRotation="45"/>
    </xf>
    <xf numFmtId="0" fontId="2" fillId="5" borderId="29" xfId="0" applyFont="1" applyFill="1" applyBorder="1" applyAlignment="1">
      <alignment horizontal="center" textRotation="45"/>
    </xf>
    <xf numFmtId="0" fontId="1" fillId="5" borderId="25"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5" borderId="22"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1" fillId="9" borderId="22" xfId="0" applyFont="1" applyFill="1" applyBorder="1" applyAlignment="1">
      <alignment horizontal="left" vertical="center" wrapText="1"/>
    </xf>
    <xf numFmtId="0" fontId="2" fillId="9" borderId="29" xfId="0" applyFont="1" applyFill="1" applyBorder="1" applyAlignment="1">
      <alignment horizontal="center" vertical="center" textRotation="90" shrinkToFit="1"/>
    </xf>
    <xf numFmtId="0" fontId="2" fillId="9" borderId="30" xfId="0" applyFont="1" applyFill="1" applyBorder="1" applyAlignment="1">
      <alignment horizontal="center" vertical="center" textRotation="90" shrinkToFit="1"/>
    </xf>
    <xf numFmtId="0" fontId="1" fillId="9" borderId="27" xfId="0" applyFont="1" applyFill="1" applyBorder="1" applyAlignment="1">
      <alignment horizontal="left" vertical="center" wrapText="1"/>
    </xf>
    <xf numFmtId="0" fontId="1" fillId="9" borderId="2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6" borderId="0" xfId="0" applyFont="1" applyFill="1" applyAlignment="1">
      <alignment horizontal="left" wrapText="1"/>
    </xf>
    <xf numFmtId="0" fontId="1" fillId="9" borderId="11" xfId="0" applyFont="1" applyFill="1" applyBorder="1" applyAlignment="1" applyProtection="1">
      <alignment horizontal="left"/>
      <protection locked="0"/>
    </xf>
    <xf numFmtId="0" fontId="1" fillId="9" borderId="22" xfId="0" applyFont="1" applyFill="1" applyBorder="1" applyAlignment="1" applyProtection="1">
      <alignment horizontal="left"/>
      <protection locked="0"/>
    </xf>
    <xf numFmtId="0" fontId="1" fillId="9" borderId="6" xfId="0" applyFont="1" applyFill="1" applyBorder="1" applyAlignment="1" applyProtection="1">
      <alignment horizontal="left"/>
      <protection locked="0"/>
    </xf>
    <xf numFmtId="0" fontId="1" fillId="0" borderId="18" xfId="0" applyFont="1" applyFill="1" applyBorder="1" applyAlignment="1" applyProtection="1">
      <alignment horizontal="left" vertical="top" wrapText="1"/>
      <protection locked="0"/>
    </xf>
    <xf numFmtId="0" fontId="1" fillId="0" borderId="19" xfId="0" applyFont="1" applyFill="1" applyBorder="1" applyAlignment="1" applyProtection="1">
      <alignment horizontal="left" vertical="top" wrapText="1"/>
      <protection locked="0"/>
    </xf>
    <xf numFmtId="0" fontId="1" fillId="0" borderId="20" xfId="0" applyFont="1" applyFill="1" applyBorder="1" applyAlignment="1" applyProtection="1">
      <alignment horizontal="left" vertical="top" wrapText="1"/>
      <protection locked="0"/>
    </xf>
    <xf numFmtId="0" fontId="2" fillId="5" borderId="11" xfId="0" applyFont="1" applyFill="1" applyBorder="1" applyAlignment="1">
      <alignment horizontal="left"/>
    </xf>
    <xf numFmtId="0" fontId="2" fillId="5" borderId="6" xfId="0" applyFont="1" applyFill="1" applyBorder="1" applyAlignment="1">
      <alignment horizontal="left"/>
    </xf>
    <xf numFmtId="0" fontId="1" fillId="0" borderId="11" xfId="0" applyFont="1" applyFill="1" applyBorder="1" applyAlignment="1" applyProtection="1">
      <alignment horizontal="left"/>
      <protection locked="0"/>
    </xf>
    <xf numFmtId="0" fontId="1" fillId="0" borderId="6" xfId="0" applyFont="1" applyFill="1" applyBorder="1" applyAlignment="1" applyProtection="1">
      <alignment horizontal="left"/>
      <protection locked="0"/>
    </xf>
    <xf numFmtId="0" fontId="0" fillId="0" borderId="11" xfId="0" applyBorder="1" applyAlignment="1" applyProtection="1">
      <alignment horizontal="left"/>
      <protection locked="0"/>
    </xf>
    <xf numFmtId="0" fontId="0" fillId="0" borderId="6" xfId="0" applyBorder="1" applyAlignment="1" applyProtection="1">
      <alignment horizontal="left"/>
      <protection locked="0"/>
    </xf>
    <xf numFmtId="0" fontId="3" fillId="0" borderId="9"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0" fillId="7" borderId="4" xfId="0" applyFill="1" applyBorder="1" applyAlignment="1">
      <alignment vertical="top" wrapText="1"/>
    </xf>
    <xf numFmtId="0" fontId="2" fillId="5" borderId="11" xfId="6" applyFont="1" applyFill="1" applyBorder="1" applyAlignment="1">
      <alignment horizontal="left" vertical="center"/>
    </xf>
    <xf numFmtId="0" fontId="2" fillId="5" borderId="22" xfId="6" applyFont="1" applyFill="1" applyBorder="1" applyAlignment="1">
      <alignment horizontal="left" vertical="center"/>
    </xf>
    <xf numFmtId="0" fontId="2" fillId="5" borderId="6" xfId="6" applyFont="1" applyFill="1" applyBorder="1" applyAlignment="1">
      <alignment horizontal="left" vertical="center"/>
    </xf>
    <xf numFmtId="0" fontId="1" fillId="0" borderId="11"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4" xfId="0" applyFont="1" applyFill="1" applyBorder="1" applyAlignment="1" applyProtection="1">
      <alignment vertical="center" wrapText="1"/>
      <protection locked="0"/>
    </xf>
    <xf numFmtId="0" fontId="2" fillId="5" borderId="4" xfId="0" applyFont="1" applyFill="1" applyBorder="1" applyAlignment="1">
      <alignment horizontal="center"/>
    </xf>
    <xf numFmtId="0" fontId="0" fillId="0" borderId="4" xfId="0" applyBorder="1" applyAlignment="1">
      <alignment horizontal="left" wrapText="1"/>
    </xf>
    <xf numFmtId="0" fontId="1" fillId="0" borderId="4" xfId="0" applyFont="1" applyBorder="1" applyAlignment="1">
      <alignment horizontal="left" wrapText="1"/>
    </xf>
    <xf numFmtId="0" fontId="1" fillId="0" borderId="4" xfId="0" applyFont="1" applyFill="1" applyBorder="1" applyAlignment="1" applyProtection="1">
      <alignment vertical="center"/>
      <protection locked="0"/>
    </xf>
    <xf numFmtId="0" fontId="0" fillId="7" borderId="4" xfId="0" applyFill="1" applyBorder="1" applyAlignment="1"/>
    <xf numFmtId="0" fontId="1" fillId="0" borderId="11" xfId="0" applyFont="1" applyFill="1" applyBorder="1" applyAlignment="1" applyProtection="1">
      <alignment vertical="center"/>
      <protection locked="0"/>
    </xf>
    <xf numFmtId="0" fontId="1" fillId="0" borderId="22" xfId="0" applyFont="1" applyFill="1" applyBorder="1" applyAlignment="1" applyProtection="1">
      <alignment vertical="center"/>
      <protection locked="0"/>
    </xf>
    <xf numFmtId="0" fontId="1" fillId="0" borderId="6" xfId="0" applyFont="1" applyFill="1" applyBorder="1" applyAlignment="1" applyProtection="1">
      <alignment vertical="center"/>
      <protection locked="0"/>
    </xf>
    <xf numFmtId="0" fontId="2" fillId="5" borderId="11" xfId="0" applyFont="1" applyFill="1" applyBorder="1" applyAlignment="1">
      <alignment horizontal="left" vertical="center"/>
    </xf>
    <xf numFmtId="0" fontId="2" fillId="5" borderId="6" xfId="0" applyFont="1" applyFill="1" applyBorder="1" applyAlignment="1">
      <alignment horizontal="left" vertical="center"/>
    </xf>
    <xf numFmtId="0" fontId="0" fillId="0" borderId="11" xfId="0" applyBorder="1" applyAlignment="1" applyProtection="1">
      <alignment horizontal="center"/>
      <protection locked="0"/>
    </xf>
    <xf numFmtId="0" fontId="0" fillId="0" borderId="6" xfId="0" applyBorder="1" applyAlignment="1" applyProtection="1">
      <alignment horizontal="center"/>
      <protection locked="0"/>
    </xf>
    <xf numFmtId="0" fontId="1" fillId="0" borderId="4" xfId="0" applyFont="1" applyFill="1" applyBorder="1" applyAlignment="1" applyProtection="1">
      <protection locked="0"/>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1" fillId="0" borderId="17" xfId="0" applyFont="1" applyBorder="1" applyAlignment="1">
      <alignment horizontal="left" vertical="center" wrapText="1"/>
    </xf>
    <xf numFmtId="0" fontId="2" fillId="0" borderId="11"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left" vertical="center" wrapText="1"/>
    </xf>
    <xf numFmtId="0" fontId="0" fillId="0" borderId="14" xfId="0" applyNumberFormat="1" applyBorder="1" applyAlignment="1" applyProtection="1">
      <alignment wrapText="1"/>
      <protection locked="0"/>
    </xf>
    <xf numFmtId="0" fontId="2" fillId="8" borderId="33" xfId="0" applyFont="1" applyFill="1" applyBorder="1" applyAlignment="1">
      <alignment horizontal="center" wrapText="1"/>
    </xf>
    <xf numFmtId="0" fontId="2" fillId="8" borderId="8" xfId="0" applyFont="1" applyFill="1" applyBorder="1" applyAlignment="1">
      <alignment horizontal="center" wrapText="1"/>
    </xf>
    <xf numFmtId="0" fontId="2" fillId="8" borderId="9" xfId="0" applyFont="1" applyFill="1" applyBorder="1" applyAlignment="1">
      <alignment horizontal="center"/>
    </xf>
    <xf numFmtId="0" fontId="2" fillId="8" borderId="12" xfId="0" applyFont="1" applyFill="1" applyBorder="1" applyAlignment="1">
      <alignment horizontal="center"/>
    </xf>
    <xf numFmtId="0" fontId="2" fillId="8" borderId="10" xfId="0" applyFont="1" applyFill="1" applyBorder="1" applyAlignment="1">
      <alignment horizontal="center"/>
    </xf>
    <xf numFmtId="0" fontId="2" fillId="0" borderId="33" xfId="0" applyFont="1" applyBorder="1" applyAlignment="1">
      <alignment horizontal="center" wrapText="1"/>
    </xf>
    <xf numFmtId="0" fontId="2" fillId="0" borderId="34" xfId="0" applyFont="1" applyBorder="1" applyAlignment="1">
      <alignment horizontal="center" wrapText="1"/>
    </xf>
    <xf numFmtId="0" fontId="2" fillId="0" borderId="8" xfId="0" applyFont="1" applyBorder="1" applyAlignment="1">
      <alignment horizontal="center" wrapText="1"/>
    </xf>
    <xf numFmtId="0" fontId="8" fillId="0" borderId="9" xfId="0" applyFont="1" applyBorder="1" applyAlignment="1">
      <alignment wrapText="1"/>
    </xf>
    <xf numFmtId="0" fontId="8" fillId="0" borderId="10" xfId="0" applyFont="1" applyBorder="1" applyAlignment="1">
      <alignment wrapText="1"/>
    </xf>
    <xf numFmtId="0" fontId="8" fillId="0" borderId="12" xfId="0" applyFont="1" applyBorder="1" applyAlignment="1">
      <alignment wrapText="1"/>
    </xf>
    <xf numFmtId="0" fontId="19" fillId="0" borderId="9" xfId="0" applyFont="1" applyBorder="1" applyAlignment="1">
      <alignment wrapText="1"/>
    </xf>
    <xf numFmtId="0" fontId="19" fillId="0" borderId="10" xfId="0" applyFont="1" applyBorder="1" applyAlignment="1">
      <alignment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35" fillId="0" borderId="0" xfId="0" applyFont="1" applyFill="1" applyAlignment="1">
      <alignment horizontal="center"/>
    </xf>
    <xf numFmtId="0" fontId="2" fillId="0" borderId="23" xfId="0" applyFont="1" applyFill="1" applyBorder="1" applyAlignment="1">
      <alignment horizontal="left" wrapText="1"/>
    </xf>
    <xf numFmtId="0" fontId="19" fillId="0" borderId="9" xfId="0" applyFont="1" applyBorder="1"/>
    <xf numFmtId="0" fontId="19" fillId="0" borderId="10" xfId="0" applyFont="1" applyBorder="1"/>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7" fillId="0" borderId="0" xfId="6" applyFont="1" applyAlignment="1">
      <alignment horizontal="center"/>
    </xf>
    <xf numFmtId="0" fontId="1" fillId="0" borderId="0" xfId="6" applyBorder="1" applyAlignment="1">
      <alignment horizontal="left" wrapText="1"/>
    </xf>
    <xf numFmtId="0" fontId="1" fillId="0" borderId="22" xfId="0" applyFont="1" applyBorder="1" applyAlignment="1">
      <alignment horizontal="left" vertical="center" wrapText="1"/>
    </xf>
    <xf numFmtId="0" fontId="1" fillId="0" borderId="22" xfId="6" applyFont="1" applyBorder="1" applyAlignment="1">
      <alignment horizontal="left" vertical="center" wrapText="1"/>
    </xf>
    <xf numFmtId="0" fontId="1" fillId="0" borderId="22" xfId="6" applyBorder="1" applyAlignment="1">
      <alignment horizontal="left" wrapText="1"/>
    </xf>
    <xf numFmtId="0" fontId="1" fillId="18" borderId="22" xfId="0" applyFont="1" applyFill="1" applyBorder="1" applyAlignment="1">
      <alignment horizontal="left" vertical="center" wrapText="1"/>
    </xf>
  </cellXfs>
  <cellStyles count="28">
    <cellStyle name="Comma" xfId="1" builtinId="3"/>
    <cellStyle name="DateTime" xfId="2"/>
    <cellStyle name="Euro" xfId="3"/>
    <cellStyle name="Hyperlink" xfId="4" builtinId="8"/>
    <cellStyle name="Input" xfId="5" builtinId="20"/>
    <cellStyle name="Normal" xfId="0" builtinId="0"/>
    <cellStyle name="Normal 2" xfId="6"/>
    <cellStyle name="Source Text" xfId="7"/>
    <cellStyle name="Standard_Bsp-Datenaustausch_S&amp;U" xfId="8"/>
    <cellStyle name="Style 21" xfId="9"/>
    <cellStyle name="Style 22" xfId="10"/>
    <cellStyle name="Style 23" xfId="11"/>
    <cellStyle name="Style 24" xfId="12"/>
    <cellStyle name="Style 25" xfId="13"/>
    <cellStyle name="Style 26" xfId="14"/>
    <cellStyle name="Style 27" xfId="15"/>
    <cellStyle name="Style 28" xfId="16"/>
    <cellStyle name="Style 29" xfId="17"/>
    <cellStyle name="Style 30" xfId="18"/>
    <cellStyle name="Style 31" xfId="19"/>
    <cellStyle name="Style 32" xfId="20"/>
    <cellStyle name="Style 33" xfId="21"/>
    <cellStyle name="Style 34" xfId="22"/>
    <cellStyle name="Style 35" xfId="23"/>
    <cellStyle name="Style 36" xfId="24"/>
    <cellStyle name="text" xfId="25"/>
    <cellStyle name="Title-2" xfId="26"/>
    <cellStyle name="wissenschaft-Eingabe" xfId="27"/>
  </cellStyles>
  <dxfs count="12">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9"/>
      </font>
    </dxf>
    <dxf>
      <font>
        <condense val="0"/>
        <extend val="0"/>
        <color indexed="44"/>
      </font>
    </dxf>
    <dxf>
      <font>
        <condense val="0"/>
        <extend val="0"/>
        <color indexed="9"/>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36</xdr:row>
      <xdr:rowOff>38100</xdr:rowOff>
    </xdr:from>
    <xdr:to>
      <xdr:col>13</xdr:col>
      <xdr:colOff>0</xdr:colOff>
      <xdr:row>50</xdr:row>
      <xdr:rowOff>28575</xdr:rowOff>
    </xdr:to>
    <xdr:sp macro="" textlink="">
      <xdr:nvSpPr>
        <xdr:cNvPr id="2" name="TextBox 1">
          <a:extLst>
            <a:ext uri="{FF2B5EF4-FFF2-40B4-BE49-F238E27FC236}">
              <a16:creationId xmlns:a16="http://schemas.microsoft.com/office/drawing/2014/main" id="{9625BAA0-117A-4755-9B6D-16C322B711D7}"/>
            </a:ext>
          </a:extLst>
        </xdr:cNvPr>
        <xdr:cNvSpPr txBox="1"/>
      </xdr:nvSpPr>
      <xdr:spPr>
        <a:xfrm>
          <a:off x="752475" y="5895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904874</xdr:colOff>
      <xdr:row>8</xdr:row>
      <xdr:rowOff>142874</xdr:rowOff>
    </xdr:from>
    <xdr:to>
      <xdr:col>14</xdr:col>
      <xdr:colOff>2057399</xdr:colOff>
      <xdr:row>18</xdr:row>
      <xdr:rowOff>9524</xdr:rowOff>
    </xdr:to>
    <xdr:sp macro="" textlink="">
      <xdr:nvSpPr>
        <xdr:cNvPr id="2" name="Text Box 13">
          <a:extLst>
            <a:ext uri="{FF2B5EF4-FFF2-40B4-BE49-F238E27FC236}">
              <a16:creationId xmlns:a16="http://schemas.microsoft.com/office/drawing/2014/main" id="{0BCA30F7-13F8-4815-A483-5C6D6DC61039}"/>
            </a:ext>
          </a:extLst>
        </xdr:cNvPr>
        <xdr:cNvSpPr txBox="1">
          <a:spLocks noChangeArrowheads="1"/>
        </xdr:cNvSpPr>
      </xdr:nvSpPr>
      <xdr:spPr bwMode="auto">
        <a:xfrm>
          <a:off x="7439024" y="1762124"/>
          <a:ext cx="8067675" cy="1552575"/>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rgbClr val="000000"/>
              </a:solidFill>
              <a:latin typeface="Arial"/>
              <a:cs typeface="Arial"/>
            </a:rPr>
            <a:t>Goal</a:t>
          </a:r>
          <a:r>
            <a:rPr lang="en-US" sz="1000" b="1" i="0" u="sng" strike="noStrike" baseline="0">
              <a:solidFill>
                <a:srgbClr val="000000"/>
              </a:solidFill>
              <a:latin typeface="Arial"/>
              <a:cs typeface="Arial"/>
            </a:rPr>
            <a:t> and Scope:</a:t>
          </a: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Flow: 1 kg of Biomass, Operation</a:t>
          </a: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Arial" pitchFamily="34" charset="0"/>
              <a:cs typeface="Arial" pitchFamily="34" charset="0"/>
            </a:rPr>
            <a:t>This unit process provides a summary of the short rotation woody crop (SRWC) cultivation process including mass of diesel, fertilizers, herbicides and water used in cultivation operations. </a:t>
          </a:r>
          <a:r>
            <a:rPr lang="en-US" sz="1000">
              <a:latin typeface="Arial" pitchFamily="34" charset="0"/>
              <a:ea typeface="+mn-ea"/>
              <a:cs typeface="Arial" pitchFamily="34" charset="0"/>
            </a:rPr>
            <a:t>The LC boundary of this unit process starts with the seeding of biomass and ends with SRWC ready for harvest. Operations of farming activities used for cultivation for SRWC are based on the production of 1 kg of SRWC biomass. The mass of diesel used to power equipment, mass of fertilizer and herbicides and related emissions </a:t>
          </a:r>
          <a:r>
            <a:rPr lang="en-US" sz="1000" b="0" i="0" u="none" strike="noStrike" baseline="0">
              <a:solidFill>
                <a:srgbClr val="000000"/>
              </a:solidFill>
              <a:latin typeface="Arial" pitchFamily="34" charset="0"/>
              <a:cs typeface="Arial" pitchFamily="34" charset="0"/>
            </a:rPr>
            <a:t>produced from cultivation operations (e.g. emissions from water and dust etc) </a:t>
          </a:r>
          <a:r>
            <a:rPr lang="en-US" sz="1000">
              <a:latin typeface="Arial" pitchFamily="34" charset="0"/>
              <a:ea typeface="+mn-ea"/>
              <a:cs typeface="Arial" pitchFamily="34" charset="0"/>
            </a:rPr>
            <a:t>are calculated based on the reference flow</a:t>
          </a:r>
          <a:r>
            <a:rPr lang="en-US" sz="1000" b="0" i="0" u="none" strike="noStrike" baseline="0">
              <a:solidFill>
                <a:srgbClr val="000000"/>
              </a:solidFill>
              <a:latin typeface="Arial" pitchFamily="34" charset="0"/>
              <a:cs typeface="Arial" pitchFamily="34" charset="0"/>
            </a:rPr>
            <a:t>. </a:t>
          </a:r>
          <a:r>
            <a:rPr lang="en-US" sz="1000" b="0" i="0" baseline="0">
              <a:effectLst/>
              <a:latin typeface="Arial" panose="020B0604020202020204" pitchFamily="34" charset="0"/>
              <a:ea typeface="+mn-ea"/>
              <a:cs typeface="Arial" panose="020B0604020202020204" pitchFamily="34" charset="0"/>
            </a:rPr>
            <a:t>Diesel combustion has been made external to this process and is now an input.</a:t>
          </a:r>
          <a:r>
            <a:rPr lang="en-US" sz="1000">
              <a:effectLst/>
              <a:latin typeface="Arial" panose="020B0604020202020204" pitchFamily="34" charset="0"/>
              <a:ea typeface="+mn-ea"/>
              <a:cs typeface="Arial" panose="020B0604020202020204" pitchFamily="34" charset="0"/>
            </a:rPr>
            <a:t> </a:t>
          </a:r>
          <a:r>
            <a:rPr lang="en-US" sz="1000" b="0" i="0" u="none" strike="noStrike" baseline="0">
              <a:solidFill>
                <a:srgbClr val="000000"/>
              </a:solidFill>
              <a:latin typeface="Arial" pitchFamily="34" charset="0"/>
              <a:cs typeface="Arial" pitchFamily="34" charset="0"/>
            </a:rPr>
            <a:t> </a:t>
          </a:r>
        </a:p>
        <a:p>
          <a:pPr algn="l" rtl="0">
            <a:defRPr sz="1000"/>
          </a:pPr>
          <a:r>
            <a:rPr lang="en-US" sz="1000" b="0" i="0" u="none" strike="noStrike" baseline="0">
              <a:solidFill>
                <a:srgbClr val="000000"/>
              </a:solidFill>
              <a:latin typeface="Arial" pitchFamily="34" charset="0"/>
              <a:cs typeface="Arial" pitchFamily="34" charset="0"/>
            </a:rPr>
            <a:t>Note: All inputs and outputs are normalized per the reference flow (e.g., per kg of biomass, operation).</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26625" name="Process" hidden="1">
              <a:extLst>
                <a:ext uri="{63B3BB69-23CF-44E3-9099-C40C66FF867C}">
                  <a14:compatExt spid="_x0000_s26625"/>
                </a:ext>
                <a:ext uri="{FF2B5EF4-FFF2-40B4-BE49-F238E27FC236}">
                  <a16:creationId xmlns:a16="http://schemas.microsoft.com/office/drawing/2014/main" id="{BDBE2D32-4734-4A28-9FE5-9DD066DEC2F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26626" name="CheckBox1" hidden="1">
              <a:extLst>
                <a:ext uri="{63B3BB69-23CF-44E3-9099-C40C66FF867C}">
                  <a14:compatExt spid="_x0000_s26626"/>
                </a:ext>
                <a:ext uri="{FF2B5EF4-FFF2-40B4-BE49-F238E27FC236}">
                  <a16:creationId xmlns:a16="http://schemas.microsoft.com/office/drawing/2014/main" id="{AB6AC270-C61B-45E8-A6C7-BCD92BBD5843}"/>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26627" name="CheckBox2" hidden="1">
              <a:extLst>
                <a:ext uri="{63B3BB69-23CF-44E3-9099-C40C66FF867C}">
                  <a14:compatExt spid="_x0000_s26627"/>
                </a:ext>
                <a:ext uri="{FF2B5EF4-FFF2-40B4-BE49-F238E27FC236}">
                  <a16:creationId xmlns:a16="http://schemas.microsoft.com/office/drawing/2014/main" id="{2C5A124D-43B7-4328-8460-05E205AB4C2C}"/>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66675</xdr:colOff>
          <xdr:row>17</xdr:row>
          <xdr:rowOff>9525</xdr:rowOff>
        </xdr:to>
        <xdr:sp macro="" textlink="">
          <xdr:nvSpPr>
            <xdr:cNvPr id="26628" name="CheckBox3" hidden="1">
              <a:extLst>
                <a:ext uri="{63B3BB69-23CF-44E3-9099-C40C66FF867C}">
                  <a14:compatExt spid="_x0000_s26628"/>
                </a:ext>
                <a:ext uri="{FF2B5EF4-FFF2-40B4-BE49-F238E27FC236}">
                  <a16:creationId xmlns:a16="http://schemas.microsoft.com/office/drawing/2014/main" id="{6E119F4D-CDFC-4054-9E4F-0DF2177C8AD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rseckard\Documents\Business\03C%20DOENETL\04%20FuelsLCA\Activity%202_I6-Biomass\14_Unit%20Process%20Production\Stage2_C_Locomotive\DS_Stage2_C_Locomotive_2009.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DOCUME~1\TOMAND~1\LOCALS~1\Temp\Temporary%20Directory%201%20for%20Stage1_C_Tractor.zip\Stage1_C_Tractor\Example%20DS\DS_Stage1_O_CoalMine_I6_2009%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Locomotive"/>
      <sheetName val="Conversions"/>
      <sheetName val="Assumption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apsaf.org/meetings/apsaf-2011/ppt/Fox-ApSAF-2011-Growth_Potential_of_Plantations_in_the_South.pdf" TargetMode="External"/><Relationship Id="rId7" Type="http://schemas.openxmlformats.org/officeDocument/2006/relationships/printerSettings" Target="../printerSettings/printerSettings6.bin"/><Relationship Id="rId2" Type="http://schemas.openxmlformats.org/officeDocument/2006/relationships/hyperlink" Target="http://www.gabioenergy.org/ppt/McClure--Forest%20Biomass%20as%20a%20Feedstock%20for%20Energy%20Production.pdf" TargetMode="External"/><Relationship Id="rId1" Type="http://schemas.openxmlformats.org/officeDocument/2006/relationships/printerSettings" Target="../printerSettings/printerSettings5.bin"/><Relationship Id="rId6" Type="http://schemas.openxmlformats.org/officeDocument/2006/relationships/hyperlink" Target="http://www.clemson.edu/extfor/herbicide%20prescription%20manual/herbicidemanual.htm" TargetMode="External"/><Relationship Id="rId5" Type="http://schemas.openxmlformats.org/officeDocument/2006/relationships/hyperlink" Target="http://www1.eere.energy.gov/biomass/pdfs/billion_ton_update.pdf" TargetMode="External"/><Relationship Id="rId4" Type="http://schemas.openxmlformats.org/officeDocument/2006/relationships/hyperlink" Target="http://forestproductivity.com/sitefactors/soils/nutrient_management_southern_pines.pdf" TargetMode="Externa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1.eere.energy.gov/biomass/pdfs/billion_ton_update.pdf" TargetMode="External"/><Relationship Id="rId1" Type="http://schemas.openxmlformats.org/officeDocument/2006/relationships/hyperlink" Target="http://www.gabioenergy.org/ppt/McClure--Forest%20Biomass%20as%20a%20Feedstock%20for%20Energy%20Produc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9"/>
  <sheetViews>
    <sheetView tabSelected="1" zoomScaleNormal="100" zoomScaleSheetLayoutView="100" workbookViewId="0">
      <selection sqref="A1:N1"/>
    </sheetView>
  </sheetViews>
  <sheetFormatPr defaultRowHeight="12.75" x14ac:dyDescent="0.2"/>
  <cols>
    <col min="1" max="1" width="2" style="5" customWidth="1"/>
    <col min="3" max="3" width="19.42578125" bestFit="1" customWidth="1"/>
    <col min="4" max="4" width="9.5703125" customWidth="1"/>
    <col min="6" max="6" width="8" customWidth="1"/>
    <col min="13" max="13" width="13" customWidth="1"/>
    <col min="14" max="14" width="2" customWidth="1"/>
    <col min="16" max="27" width="9.140625" style="5"/>
  </cols>
  <sheetData>
    <row r="1" spans="1:27" ht="20.25" x14ac:dyDescent="0.3">
      <c r="A1" s="319" t="s">
        <v>50</v>
      </c>
      <c r="B1" s="319"/>
      <c r="C1" s="319"/>
      <c r="D1" s="319"/>
      <c r="E1" s="319"/>
      <c r="F1" s="319"/>
      <c r="G1" s="319"/>
      <c r="H1" s="319"/>
      <c r="I1" s="319"/>
      <c r="J1" s="319"/>
      <c r="K1" s="319"/>
      <c r="L1" s="319"/>
      <c r="M1" s="319"/>
      <c r="N1" s="319"/>
      <c r="O1" s="40"/>
    </row>
    <row r="2" spans="1:27" ht="21" thickBot="1" x14ac:dyDescent="0.35">
      <c r="A2" s="319" t="s">
        <v>326</v>
      </c>
      <c r="B2" s="319"/>
      <c r="C2" s="319"/>
      <c r="D2" s="319"/>
      <c r="E2" s="319"/>
      <c r="F2" s="319"/>
      <c r="G2" s="319"/>
      <c r="H2" s="319"/>
      <c r="I2" s="319"/>
      <c r="J2" s="319"/>
      <c r="K2" s="319"/>
      <c r="L2" s="319"/>
      <c r="M2" s="319"/>
      <c r="N2" s="319"/>
      <c r="O2" s="40"/>
    </row>
    <row r="3" spans="1:27" ht="12.75" customHeight="1" thickBot="1" x14ac:dyDescent="0.25">
      <c r="B3" s="5"/>
      <c r="C3" s="39" t="s">
        <v>327</v>
      </c>
      <c r="D3" s="41" t="str">
        <f>'Data Summary'!D4</f>
        <v>Southern Pine Biomass Cultivation, Operation</v>
      </c>
      <c r="E3" s="42"/>
      <c r="F3" s="42"/>
      <c r="G3" s="42"/>
      <c r="H3" s="42"/>
      <c r="I3" s="42"/>
      <c r="J3" s="42"/>
      <c r="K3" s="42"/>
      <c r="L3" s="42"/>
      <c r="M3" s="43"/>
      <c r="N3" s="5"/>
      <c r="O3" s="5"/>
    </row>
    <row r="4" spans="1:27" ht="42.75" customHeight="1" thickBot="1" x14ac:dyDescent="0.25">
      <c r="B4" s="5"/>
      <c r="C4" s="39" t="s">
        <v>328</v>
      </c>
      <c r="D4" s="320" t="str">
        <f>'Data Summary'!D6:M6</f>
        <v xml:space="preserve">This unit process includes operation period farming activities for cultivation of SRWC (from Southern Pine), including inputs of combusted diesel, fertilizers, herbicides and water use, as well as criteria air pollutants and water emissions. </v>
      </c>
      <c r="E4" s="321"/>
      <c r="F4" s="321"/>
      <c r="G4" s="321"/>
      <c r="H4" s="321"/>
      <c r="I4" s="321"/>
      <c r="J4" s="321"/>
      <c r="K4" s="321"/>
      <c r="L4" s="321"/>
      <c r="M4" s="322"/>
      <c r="N4" s="5"/>
      <c r="O4" s="5"/>
    </row>
    <row r="5" spans="1:27" ht="39" customHeight="1" thickBot="1" x14ac:dyDescent="0.25">
      <c r="B5" s="5"/>
      <c r="C5" s="39" t="s">
        <v>329</v>
      </c>
      <c r="D5" s="320" t="s">
        <v>921</v>
      </c>
      <c r="E5" s="321"/>
      <c r="F5" s="321"/>
      <c r="G5" s="321"/>
      <c r="H5" s="321"/>
      <c r="I5" s="321"/>
      <c r="J5" s="321"/>
      <c r="K5" s="321"/>
      <c r="L5" s="321"/>
      <c r="M5" s="322"/>
      <c r="N5" s="5"/>
      <c r="O5" s="5"/>
    </row>
    <row r="6" spans="1:27" ht="56.25" customHeight="1" thickBot="1" x14ac:dyDescent="0.25">
      <c r="B6" s="5"/>
      <c r="C6" s="44" t="s">
        <v>330</v>
      </c>
      <c r="D6" s="320" t="s">
        <v>373</v>
      </c>
      <c r="E6" s="321"/>
      <c r="F6" s="321"/>
      <c r="G6" s="321"/>
      <c r="H6" s="321"/>
      <c r="I6" s="321"/>
      <c r="J6" s="321"/>
      <c r="K6" s="321"/>
      <c r="L6" s="321"/>
      <c r="M6" s="322"/>
      <c r="N6" s="5"/>
      <c r="O6" s="5"/>
    </row>
    <row r="7" spans="1:27" x14ac:dyDescent="0.2">
      <c r="B7" s="4" t="s">
        <v>331</v>
      </c>
      <c r="C7" s="4"/>
      <c r="D7" s="4"/>
      <c r="E7" s="4"/>
      <c r="F7" s="4"/>
      <c r="G7" s="4"/>
      <c r="H7" s="4"/>
      <c r="I7" s="4"/>
      <c r="J7" s="4"/>
      <c r="K7" s="4"/>
      <c r="L7" s="4"/>
      <c r="M7" s="4"/>
      <c r="N7" s="5"/>
      <c r="O7" s="5"/>
    </row>
    <row r="8" spans="1:27" ht="13.5" thickBot="1" x14ac:dyDescent="0.25">
      <c r="B8" s="4"/>
      <c r="C8" s="4" t="s">
        <v>332</v>
      </c>
      <c r="D8" s="4" t="s">
        <v>333</v>
      </c>
      <c r="E8" s="4"/>
      <c r="F8" s="4"/>
      <c r="G8" s="4"/>
      <c r="H8" s="4"/>
      <c r="I8" s="4"/>
      <c r="J8" s="4"/>
      <c r="K8" s="4"/>
      <c r="L8" s="4"/>
      <c r="M8" s="4"/>
      <c r="N8" s="5"/>
      <c r="O8" s="5"/>
    </row>
    <row r="9" spans="1:27" s="20" customFormat="1" ht="15" customHeight="1" x14ac:dyDescent="0.2">
      <c r="A9" s="5"/>
      <c r="B9" s="323" t="s">
        <v>334</v>
      </c>
      <c r="C9" s="224" t="s">
        <v>335</v>
      </c>
      <c r="D9" s="325" t="s">
        <v>336</v>
      </c>
      <c r="E9" s="325"/>
      <c r="F9" s="325"/>
      <c r="G9" s="325"/>
      <c r="H9" s="325"/>
      <c r="I9" s="325"/>
      <c r="J9" s="325"/>
      <c r="K9" s="325"/>
      <c r="L9" s="325"/>
      <c r="M9" s="326"/>
      <c r="N9" s="5"/>
      <c r="O9" s="5"/>
      <c r="P9" s="5"/>
      <c r="Q9" s="5"/>
      <c r="R9" s="5"/>
      <c r="S9" s="5"/>
      <c r="T9" s="5"/>
      <c r="U9" s="5"/>
      <c r="V9" s="5"/>
      <c r="W9" s="5"/>
      <c r="X9" s="5"/>
      <c r="Y9" s="5"/>
      <c r="Z9" s="5"/>
      <c r="AA9" s="5"/>
    </row>
    <row r="10" spans="1:27" s="20" customFormat="1" ht="15" customHeight="1" x14ac:dyDescent="0.2">
      <c r="A10" s="5"/>
      <c r="B10" s="324"/>
      <c r="C10" s="225" t="s">
        <v>337</v>
      </c>
      <c r="D10" s="327" t="s">
        <v>338</v>
      </c>
      <c r="E10" s="327"/>
      <c r="F10" s="327"/>
      <c r="G10" s="327"/>
      <c r="H10" s="327"/>
      <c r="I10" s="327"/>
      <c r="J10" s="327"/>
      <c r="K10" s="327"/>
      <c r="L10" s="327"/>
      <c r="M10" s="328"/>
      <c r="N10" s="5"/>
      <c r="O10" s="5"/>
      <c r="P10" s="5"/>
      <c r="Q10" s="5"/>
      <c r="R10" s="5"/>
      <c r="S10" s="5"/>
      <c r="T10" s="5"/>
      <c r="U10" s="5"/>
      <c r="V10" s="5"/>
      <c r="W10" s="5"/>
      <c r="X10" s="5"/>
      <c r="Y10" s="5"/>
      <c r="Z10" s="5"/>
      <c r="AA10" s="5"/>
    </row>
    <row r="11" spans="1:27" s="20" customFormat="1" ht="15" customHeight="1" x14ac:dyDescent="0.2">
      <c r="A11" s="5"/>
      <c r="B11" s="324"/>
      <c r="C11" s="225" t="s">
        <v>316</v>
      </c>
      <c r="D11" s="327" t="s">
        <v>339</v>
      </c>
      <c r="E11" s="327"/>
      <c r="F11" s="327"/>
      <c r="G11" s="327"/>
      <c r="H11" s="327"/>
      <c r="I11" s="327"/>
      <c r="J11" s="327"/>
      <c r="K11" s="327"/>
      <c r="L11" s="327"/>
      <c r="M11" s="328"/>
      <c r="N11" s="5"/>
      <c r="O11" s="5"/>
      <c r="P11" s="5"/>
      <c r="Q11" s="5"/>
      <c r="R11" s="5"/>
      <c r="S11" s="5"/>
      <c r="T11" s="5"/>
      <c r="U11" s="5"/>
      <c r="V11" s="5"/>
      <c r="W11" s="5"/>
      <c r="X11" s="5"/>
      <c r="Y11" s="5"/>
      <c r="Z11" s="5"/>
      <c r="AA11" s="5"/>
    </row>
    <row r="12" spans="1:27" ht="15" customHeight="1" x14ac:dyDescent="0.2">
      <c r="B12" s="330" t="s">
        <v>340</v>
      </c>
      <c r="C12" s="226" t="s">
        <v>706</v>
      </c>
      <c r="D12" s="329" t="s">
        <v>904</v>
      </c>
      <c r="E12" s="329"/>
      <c r="F12" s="329"/>
      <c r="G12" s="329"/>
      <c r="H12" s="329"/>
      <c r="I12" s="329"/>
      <c r="J12" s="329"/>
      <c r="K12" s="329"/>
      <c r="L12" s="329"/>
      <c r="M12" s="332"/>
      <c r="N12" s="5"/>
      <c r="O12" s="5"/>
    </row>
    <row r="13" spans="1:27" ht="15" customHeight="1" x14ac:dyDescent="0.2">
      <c r="B13" s="330"/>
      <c r="C13" s="226" t="s">
        <v>891</v>
      </c>
      <c r="D13" s="227" t="s">
        <v>892</v>
      </c>
      <c r="E13" s="278"/>
      <c r="F13" s="278"/>
      <c r="G13" s="278"/>
      <c r="H13" s="278"/>
      <c r="I13" s="278"/>
      <c r="J13" s="278"/>
      <c r="K13" s="278"/>
      <c r="L13" s="278"/>
      <c r="M13" s="279"/>
      <c r="N13" s="5"/>
      <c r="O13" s="5"/>
    </row>
    <row r="14" spans="1:27" ht="15" customHeight="1" x14ac:dyDescent="0.2">
      <c r="B14" s="330"/>
      <c r="C14" s="226" t="s">
        <v>893</v>
      </c>
      <c r="D14" s="227" t="s">
        <v>899</v>
      </c>
      <c r="E14" s="278"/>
      <c r="F14" s="278"/>
      <c r="G14" s="278"/>
      <c r="H14" s="278"/>
      <c r="I14" s="278"/>
      <c r="J14" s="278"/>
      <c r="K14" s="278"/>
      <c r="L14" s="278"/>
      <c r="M14" s="279"/>
      <c r="N14" s="5"/>
      <c r="O14" s="5"/>
    </row>
    <row r="15" spans="1:27" ht="15" customHeight="1" x14ac:dyDescent="0.2">
      <c r="B15" s="330"/>
      <c r="C15" s="226" t="s">
        <v>894</v>
      </c>
      <c r="D15" s="227" t="s">
        <v>900</v>
      </c>
      <c r="E15" s="278"/>
      <c r="F15" s="278"/>
      <c r="G15" s="278"/>
      <c r="H15" s="278"/>
      <c r="I15" s="278"/>
      <c r="J15" s="278"/>
      <c r="K15" s="278"/>
      <c r="L15" s="278"/>
      <c r="M15" s="279"/>
      <c r="N15" s="5"/>
      <c r="O15" s="5"/>
    </row>
    <row r="16" spans="1:27" ht="15" customHeight="1" x14ac:dyDescent="0.2">
      <c r="B16" s="330"/>
      <c r="C16" s="226" t="s">
        <v>895</v>
      </c>
      <c r="D16" s="227" t="s">
        <v>901</v>
      </c>
      <c r="E16" s="278"/>
      <c r="F16" s="278"/>
      <c r="G16" s="278"/>
      <c r="H16" s="278"/>
      <c r="I16" s="278"/>
      <c r="J16" s="278"/>
      <c r="K16" s="278"/>
      <c r="L16" s="278"/>
      <c r="M16" s="279"/>
      <c r="N16" s="5"/>
      <c r="O16" s="5"/>
    </row>
    <row r="17" spans="1:27" ht="15" customHeight="1" x14ac:dyDescent="0.2">
      <c r="B17" s="330"/>
      <c r="C17" s="226" t="s">
        <v>896</v>
      </c>
      <c r="D17" s="227" t="s">
        <v>902</v>
      </c>
      <c r="E17" s="278"/>
      <c r="F17" s="278"/>
      <c r="G17" s="278"/>
      <c r="H17" s="278"/>
      <c r="I17" s="278"/>
      <c r="J17" s="278"/>
      <c r="K17" s="278"/>
      <c r="L17" s="278"/>
      <c r="M17" s="279"/>
      <c r="N17" s="5"/>
      <c r="O17" s="5"/>
    </row>
    <row r="18" spans="1:27" ht="15" customHeight="1" x14ac:dyDescent="0.2">
      <c r="B18" s="330"/>
      <c r="C18" s="226" t="s">
        <v>897</v>
      </c>
      <c r="D18" s="227" t="s">
        <v>670</v>
      </c>
      <c r="E18" s="278"/>
      <c r="F18" s="278"/>
      <c r="G18" s="278"/>
      <c r="H18" s="278"/>
      <c r="I18" s="278"/>
      <c r="J18" s="278"/>
      <c r="K18" s="278"/>
      <c r="L18" s="278"/>
      <c r="M18" s="279"/>
      <c r="N18" s="5"/>
      <c r="O18" s="5"/>
    </row>
    <row r="19" spans="1:27" ht="15" customHeight="1" x14ac:dyDescent="0.2">
      <c r="B19" s="330"/>
      <c r="C19" s="226" t="s">
        <v>898</v>
      </c>
      <c r="D19" s="227" t="s">
        <v>903</v>
      </c>
      <c r="E19" s="278"/>
      <c r="F19" s="278"/>
      <c r="G19" s="278"/>
      <c r="H19" s="278"/>
      <c r="I19" s="278"/>
      <c r="J19" s="278"/>
      <c r="K19" s="278"/>
      <c r="L19" s="278"/>
      <c r="M19" s="279"/>
      <c r="N19" s="5"/>
      <c r="O19" s="5"/>
    </row>
    <row r="20" spans="1:27" ht="15" customHeight="1" x14ac:dyDescent="0.2">
      <c r="B20" s="330"/>
      <c r="C20" s="227" t="s">
        <v>341</v>
      </c>
      <c r="D20" s="329" t="s">
        <v>342</v>
      </c>
      <c r="E20" s="329"/>
      <c r="F20" s="329"/>
      <c r="G20" s="329"/>
      <c r="H20" s="329"/>
      <c r="I20" s="329"/>
      <c r="J20" s="329"/>
      <c r="K20" s="329"/>
      <c r="L20" s="329"/>
      <c r="M20" s="332"/>
      <c r="N20" s="5"/>
      <c r="O20" s="5"/>
    </row>
    <row r="21" spans="1:27" ht="15" customHeight="1" x14ac:dyDescent="0.2">
      <c r="B21" s="330"/>
      <c r="C21" s="227" t="s">
        <v>1081</v>
      </c>
      <c r="D21" s="329" t="s">
        <v>1082</v>
      </c>
      <c r="E21" s="329"/>
      <c r="F21" s="329"/>
      <c r="G21" s="329"/>
      <c r="H21" s="329"/>
      <c r="I21" s="329"/>
      <c r="J21" s="329"/>
      <c r="K21" s="329"/>
      <c r="L21" s="329"/>
      <c r="M21" s="311"/>
      <c r="N21" s="5"/>
      <c r="O21" s="5"/>
    </row>
    <row r="22" spans="1:27" ht="15" customHeight="1" thickBot="1" x14ac:dyDescent="0.25">
      <c r="B22" s="331"/>
      <c r="C22" s="228" t="s">
        <v>343</v>
      </c>
      <c r="D22" s="333" t="s">
        <v>343</v>
      </c>
      <c r="E22" s="333"/>
      <c r="F22" s="333"/>
      <c r="G22" s="333"/>
      <c r="H22" s="333"/>
      <c r="I22" s="333"/>
      <c r="J22" s="333"/>
      <c r="K22" s="333"/>
      <c r="L22" s="333"/>
      <c r="M22" s="334"/>
      <c r="N22" s="5"/>
      <c r="O22" s="5"/>
    </row>
    <row r="23" spans="1:27" x14ac:dyDescent="0.2">
      <c r="B23" s="4"/>
      <c r="C23" s="4"/>
      <c r="D23" s="4"/>
      <c r="E23" s="4"/>
      <c r="F23" s="4"/>
      <c r="G23" s="4"/>
      <c r="H23" s="4"/>
      <c r="I23" s="4"/>
      <c r="J23" s="4"/>
      <c r="K23" s="4"/>
      <c r="L23" s="4"/>
      <c r="M23" s="4"/>
      <c r="N23" s="5"/>
      <c r="O23" s="5"/>
    </row>
    <row r="24" spans="1:27" x14ac:dyDescent="0.2">
      <c r="B24" s="4" t="s">
        <v>344</v>
      </c>
      <c r="C24" s="4"/>
      <c r="D24" s="4"/>
      <c r="E24" s="4"/>
      <c r="F24" s="4"/>
      <c r="G24" s="4"/>
      <c r="H24" s="4"/>
      <c r="I24" s="4"/>
      <c r="J24" s="4"/>
      <c r="K24" s="4"/>
      <c r="L24" s="4"/>
      <c r="M24" s="4"/>
      <c r="N24" s="5"/>
      <c r="O24" s="5"/>
    </row>
    <row r="25" spans="1:27" ht="38.25" customHeight="1" x14ac:dyDescent="0.2">
      <c r="B25" s="4"/>
      <c r="C25" s="335" t="s">
        <v>1145</v>
      </c>
      <c r="D25" s="335"/>
      <c r="E25" s="335"/>
      <c r="F25" s="335"/>
      <c r="G25" s="335"/>
      <c r="H25" s="335"/>
      <c r="I25" s="335"/>
      <c r="J25" s="335"/>
      <c r="K25" s="335"/>
      <c r="L25" s="335"/>
      <c r="M25" s="335"/>
      <c r="N25" s="5"/>
      <c r="O25" s="5"/>
    </row>
    <row r="26" spans="1:27" x14ac:dyDescent="0.2">
      <c r="B26" s="4" t="s">
        <v>345</v>
      </c>
      <c r="C26" s="4"/>
      <c r="D26" s="4"/>
      <c r="E26" s="4"/>
      <c r="F26" s="4"/>
      <c r="G26" s="19"/>
      <c r="H26" s="19"/>
      <c r="I26" s="19"/>
      <c r="J26" s="19"/>
      <c r="K26" s="19"/>
      <c r="L26" s="19"/>
      <c r="M26" s="19"/>
      <c r="N26" s="5"/>
      <c r="O26" s="5"/>
    </row>
    <row r="27" spans="1:27" x14ac:dyDescent="0.2">
      <c r="B27" s="19"/>
      <c r="C27" s="19" t="s">
        <v>346</v>
      </c>
      <c r="D27" s="19"/>
      <c r="E27" s="45" t="s">
        <v>347</v>
      </c>
      <c r="F27" s="46"/>
      <c r="G27" s="19" t="s">
        <v>348</v>
      </c>
      <c r="H27" s="19"/>
      <c r="I27" s="19"/>
      <c r="J27" s="19"/>
      <c r="K27" s="19"/>
      <c r="L27" s="19"/>
      <c r="M27" s="19"/>
      <c r="N27" s="5"/>
      <c r="O27" s="5"/>
    </row>
    <row r="28" spans="1:27" x14ac:dyDescent="0.2">
      <c r="B28" s="19"/>
      <c r="C28" s="19" t="s">
        <v>349</v>
      </c>
      <c r="D28" s="19"/>
      <c r="E28" s="19"/>
      <c r="F28" s="19"/>
      <c r="G28" s="19"/>
      <c r="H28" s="19"/>
      <c r="I28" s="19"/>
      <c r="J28" s="19"/>
      <c r="K28" s="19"/>
      <c r="L28" s="19"/>
      <c r="M28" s="19"/>
      <c r="N28" s="5"/>
      <c r="O28" s="5"/>
    </row>
    <row r="29" spans="1:27" x14ac:dyDescent="0.2">
      <c r="B29" s="19"/>
      <c r="C29" s="19" t="s">
        <v>485</v>
      </c>
      <c r="D29" s="19"/>
      <c r="E29" s="19"/>
      <c r="F29" s="19"/>
      <c r="G29" s="19"/>
      <c r="H29" s="19"/>
      <c r="I29" s="19"/>
      <c r="J29" s="19"/>
      <c r="K29" s="19"/>
      <c r="L29" s="19"/>
      <c r="M29" s="19"/>
      <c r="N29" s="5"/>
      <c r="O29" s="5"/>
    </row>
    <row r="30" spans="1:27" s="38" customFormat="1" x14ac:dyDescent="0.2">
      <c r="A30" s="19"/>
      <c r="B30" s="19"/>
      <c r="C30" s="19" t="s">
        <v>787</v>
      </c>
      <c r="D30" s="19"/>
      <c r="E30" s="19"/>
      <c r="F30" s="19"/>
      <c r="G30" s="19"/>
      <c r="H30" s="19"/>
      <c r="I30" s="19"/>
      <c r="J30" s="19"/>
      <c r="K30" s="19"/>
      <c r="L30" s="19"/>
      <c r="M30" s="19"/>
      <c r="N30" s="19"/>
      <c r="O30" s="19"/>
      <c r="P30" s="19"/>
      <c r="Q30" s="19"/>
      <c r="R30" s="19"/>
      <c r="S30" s="19"/>
      <c r="T30" s="19"/>
      <c r="U30" s="19"/>
      <c r="V30" s="19"/>
      <c r="W30" s="19"/>
      <c r="X30" s="19"/>
      <c r="Y30" s="19"/>
      <c r="Z30" s="19"/>
      <c r="AA30" s="19"/>
    </row>
    <row r="31" spans="1:27" s="38" customFormat="1" x14ac:dyDescent="0.2">
      <c r="A31" s="19"/>
      <c r="B31" s="19"/>
      <c r="C31" s="19" t="s">
        <v>786</v>
      </c>
      <c r="D31" s="19"/>
      <c r="E31" s="19"/>
      <c r="F31" s="19"/>
      <c r="G31" s="19"/>
      <c r="H31" s="19"/>
      <c r="I31" s="19"/>
      <c r="J31" s="19"/>
      <c r="K31" s="19"/>
      <c r="L31" s="19"/>
      <c r="M31" s="19"/>
      <c r="N31" s="19"/>
      <c r="O31" s="19"/>
      <c r="P31" s="19"/>
      <c r="Q31" s="19"/>
      <c r="R31" s="19"/>
      <c r="S31" s="19"/>
      <c r="T31" s="19"/>
      <c r="U31" s="19"/>
      <c r="V31" s="19"/>
      <c r="W31" s="19"/>
      <c r="X31" s="19"/>
      <c r="Y31" s="19"/>
      <c r="Z31" s="19"/>
      <c r="AA31" s="19"/>
    </row>
    <row r="32" spans="1:27" s="38" customFormat="1" x14ac:dyDescent="0.2">
      <c r="A32" s="19"/>
      <c r="B32" s="19"/>
      <c r="C32" s="19" t="s">
        <v>785</v>
      </c>
      <c r="D32" s="19"/>
      <c r="E32" s="19"/>
      <c r="F32" s="19"/>
      <c r="G32" s="19"/>
      <c r="H32" s="19"/>
      <c r="I32" s="19"/>
      <c r="J32" s="19"/>
      <c r="K32" s="19"/>
      <c r="L32" s="19"/>
      <c r="M32" s="19"/>
      <c r="N32" s="19"/>
      <c r="O32" s="19"/>
      <c r="P32" s="19"/>
      <c r="Q32" s="19"/>
      <c r="R32" s="19"/>
      <c r="S32" s="19"/>
      <c r="T32" s="19"/>
      <c r="U32" s="19"/>
      <c r="V32" s="19"/>
      <c r="W32" s="19"/>
      <c r="X32" s="19"/>
      <c r="Y32" s="19"/>
      <c r="Z32" s="19"/>
      <c r="AA32" s="19"/>
    </row>
    <row r="33" spans="1:27" s="38" customFormat="1" x14ac:dyDescent="0.2">
      <c r="A33" s="19"/>
      <c r="B33" s="19"/>
      <c r="C33" s="19" t="s">
        <v>816</v>
      </c>
      <c r="D33" s="19"/>
      <c r="E33" s="19"/>
      <c r="F33" s="19"/>
      <c r="G33" s="19"/>
      <c r="H33" s="19"/>
      <c r="I33" s="19"/>
      <c r="J33" s="19"/>
      <c r="K33" s="19"/>
      <c r="L33" s="19"/>
      <c r="M33" s="19"/>
      <c r="N33" s="19"/>
      <c r="O33" s="19"/>
      <c r="P33" s="19"/>
      <c r="Q33" s="19"/>
      <c r="R33" s="19"/>
      <c r="S33" s="19"/>
      <c r="T33" s="19"/>
      <c r="U33" s="19"/>
      <c r="V33" s="19"/>
      <c r="W33" s="19"/>
      <c r="X33" s="19"/>
      <c r="Y33" s="19"/>
      <c r="Z33" s="19"/>
      <c r="AA33" s="19"/>
    </row>
    <row r="34" spans="1:27" x14ac:dyDescent="0.2">
      <c r="B34" s="19"/>
      <c r="C34" s="19" t="s">
        <v>350</v>
      </c>
      <c r="D34" s="19"/>
      <c r="E34" s="19"/>
      <c r="F34" s="19"/>
      <c r="G34" s="19"/>
      <c r="H34" s="19"/>
      <c r="I34" s="19"/>
      <c r="J34" s="19"/>
      <c r="K34" s="19"/>
      <c r="L34" s="19"/>
      <c r="M34" s="19"/>
      <c r="N34" s="19"/>
      <c r="O34" s="19"/>
    </row>
    <row r="35" spans="1:27" x14ac:dyDescent="0.2">
      <c r="B35" s="19"/>
      <c r="C35" s="19"/>
      <c r="D35" s="19"/>
      <c r="E35" s="19"/>
      <c r="F35" s="19"/>
      <c r="G35" s="19"/>
      <c r="H35" s="19"/>
      <c r="I35" s="19"/>
      <c r="J35" s="19"/>
      <c r="K35" s="19"/>
      <c r="L35" s="19"/>
      <c r="M35" s="19"/>
      <c r="N35" s="19"/>
      <c r="O35" s="19"/>
    </row>
    <row r="36" spans="1:27" x14ac:dyDescent="0.2">
      <c r="B36" s="4" t="s">
        <v>351</v>
      </c>
      <c r="C36" s="19"/>
      <c r="D36" s="19"/>
      <c r="E36" s="19"/>
      <c r="F36" s="19"/>
      <c r="G36" s="19"/>
      <c r="H36" s="19"/>
      <c r="I36" s="19"/>
      <c r="J36" s="19"/>
      <c r="K36" s="19"/>
      <c r="L36" s="19"/>
      <c r="M36" s="19"/>
      <c r="N36" s="19"/>
      <c r="O36" s="19"/>
    </row>
    <row r="37" spans="1:27" x14ac:dyDescent="0.2">
      <c r="B37" s="19"/>
      <c r="C37" s="19"/>
      <c r="D37" s="19"/>
      <c r="E37" s="19"/>
      <c r="F37" s="19"/>
      <c r="G37" s="19"/>
      <c r="H37" s="19"/>
      <c r="I37" s="19"/>
      <c r="J37" s="19"/>
      <c r="K37" s="19"/>
      <c r="L37" s="19"/>
      <c r="M37" s="19"/>
      <c r="N37" s="19"/>
      <c r="O37" s="19"/>
    </row>
    <row r="38" spans="1:27" x14ac:dyDescent="0.2">
      <c r="B38" s="19"/>
      <c r="C38" s="19"/>
      <c r="D38" s="19"/>
      <c r="E38" s="19"/>
      <c r="F38" s="19"/>
      <c r="G38" s="19"/>
      <c r="H38" s="19"/>
      <c r="I38" s="19"/>
      <c r="J38" s="19"/>
      <c r="K38" s="19"/>
      <c r="L38" s="19"/>
      <c r="M38" s="19"/>
      <c r="N38" s="19"/>
      <c r="O38" s="19"/>
    </row>
    <row r="39" spans="1:27" x14ac:dyDescent="0.2">
      <c r="B39" s="19"/>
      <c r="C39" s="19"/>
      <c r="D39" s="19"/>
      <c r="E39" s="19"/>
      <c r="F39" s="19"/>
      <c r="G39" s="19"/>
      <c r="H39" s="19"/>
      <c r="I39" s="19"/>
      <c r="J39" s="19"/>
      <c r="K39" s="19"/>
      <c r="L39" s="19"/>
      <c r="M39" s="19"/>
      <c r="N39" s="19"/>
      <c r="O39" s="19"/>
    </row>
    <row r="40" spans="1:27" x14ac:dyDescent="0.2">
      <c r="B40" s="19"/>
      <c r="C40" s="19"/>
      <c r="D40" s="19"/>
      <c r="E40" s="19"/>
      <c r="F40" s="19"/>
      <c r="G40" s="19"/>
      <c r="H40" s="19"/>
      <c r="I40" s="19"/>
      <c r="J40" s="19"/>
      <c r="K40" s="19"/>
      <c r="L40" s="19"/>
      <c r="M40" s="19"/>
      <c r="N40" s="19"/>
      <c r="O40" s="19"/>
    </row>
    <row r="41" spans="1:27" x14ac:dyDescent="0.2">
      <c r="B41" s="19"/>
      <c r="C41" s="19"/>
      <c r="D41" s="19"/>
      <c r="E41" s="19"/>
      <c r="F41" s="19"/>
      <c r="G41" s="19"/>
      <c r="H41" s="19"/>
      <c r="I41" s="19"/>
      <c r="J41" s="19"/>
      <c r="K41" s="19"/>
      <c r="L41" s="19"/>
      <c r="M41" s="19"/>
      <c r="N41" s="19"/>
      <c r="O41" s="19"/>
    </row>
    <row r="42" spans="1:27" x14ac:dyDescent="0.2">
      <c r="B42" s="19"/>
      <c r="C42" s="19"/>
      <c r="D42" s="19"/>
      <c r="E42" s="19"/>
      <c r="F42" s="19"/>
      <c r="G42" s="19"/>
      <c r="H42" s="19"/>
      <c r="I42" s="19"/>
      <c r="J42" s="19"/>
      <c r="K42" s="19"/>
      <c r="L42" s="19"/>
      <c r="M42" s="19"/>
      <c r="N42" s="19"/>
      <c r="O42" s="19"/>
    </row>
    <row r="43" spans="1:27" x14ac:dyDescent="0.2">
      <c r="B43" s="19"/>
      <c r="C43" s="19"/>
      <c r="D43" s="19"/>
      <c r="E43" s="19"/>
      <c r="F43" s="19"/>
      <c r="G43" s="19"/>
      <c r="H43" s="19"/>
      <c r="I43" s="19"/>
      <c r="J43" s="19"/>
      <c r="K43" s="19"/>
      <c r="L43" s="19"/>
      <c r="M43" s="19"/>
      <c r="N43" s="19"/>
      <c r="O43" s="19"/>
    </row>
    <row r="44" spans="1:27" x14ac:dyDescent="0.2">
      <c r="B44" s="19"/>
      <c r="C44" s="19"/>
      <c r="D44" s="19"/>
      <c r="E44" s="19"/>
      <c r="F44" s="19"/>
      <c r="G44" s="19"/>
      <c r="H44" s="19"/>
      <c r="I44" s="19"/>
      <c r="J44" s="19"/>
      <c r="K44" s="19"/>
      <c r="L44" s="19"/>
      <c r="M44" s="19"/>
      <c r="N44" s="19"/>
      <c r="O44" s="19"/>
    </row>
    <row r="45" spans="1:27" x14ac:dyDescent="0.2">
      <c r="B45" s="19"/>
      <c r="C45" s="19"/>
      <c r="D45" s="19"/>
      <c r="E45" s="19"/>
      <c r="F45" s="19"/>
      <c r="G45" s="19"/>
      <c r="H45" s="19"/>
      <c r="I45" s="19"/>
      <c r="J45" s="19"/>
      <c r="K45" s="19"/>
      <c r="L45" s="19"/>
      <c r="M45" s="19"/>
      <c r="N45" s="19"/>
      <c r="O45" s="19"/>
    </row>
    <row r="46" spans="1:27" x14ac:dyDescent="0.2">
      <c r="B46" s="19"/>
      <c r="C46" s="19"/>
      <c r="D46" s="19"/>
      <c r="E46" s="19"/>
      <c r="F46" s="19"/>
      <c r="G46" s="19"/>
      <c r="H46" s="19"/>
      <c r="I46" s="19"/>
      <c r="J46" s="19"/>
      <c r="K46" s="19"/>
      <c r="L46" s="19"/>
      <c r="M46" s="19"/>
      <c r="N46" s="19"/>
      <c r="O46" s="19"/>
    </row>
    <row r="47" spans="1:27" x14ac:dyDescent="0.2">
      <c r="B47" s="19"/>
      <c r="C47" s="19"/>
      <c r="D47" s="19"/>
      <c r="E47" s="19"/>
      <c r="F47" s="19"/>
      <c r="G47" s="19"/>
      <c r="H47" s="19"/>
      <c r="I47" s="19"/>
      <c r="J47" s="19"/>
      <c r="K47" s="19"/>
      <c r="L47" s="19"/>
      <c r="M47" s="19"/>
      <c r="N47" s="19"/>
      <c r="O47" s="19"/>
    </row>
    <row r="48" spans="1:27" x14ac:dyDescent="0.2">
      <c r="B48" s="19"/>
      <c r="C48" s="19"/>
      <c r="D48" s="19"/>
      <c r="E48" s="19"/>
      <c r="F48" s="19"/>
      <c r="G48" s="19"/>
      <c r="H48" s="19"/>
      <c r="I48" s="19"/>
      <c r="J48" s="19"/>
      <c r="K48" s="19"/>
      <c r="L48" s="19"/>
      <c r="M48" s="19"/>
      <c r="N48" s="19"/>
      <c r="O48" s="19"/>
    </row>
    <row r="49" spans="2:15" x14ac:dyDescent="0.2">
      <c r="B49" s="19"/>
      <c r="C49" s="19"/>
      <c r="D49" s="19"/>
      <c r="E49" s="19"/>
      <c r="F49" s="19"/>
      <c r="G49" s="19"/>
      <c r="H49" s="19"/>
      <c r="I49" s="19"/>
      <c r="J49" s="19"/>
      <c r="K49" s="19"/>
      <c r="L49" s="19"/>
      <c r="M49" s="19"/>
      <c r="N49" s="19"/>
      <c r="O49" s="19"/>
    </row>
    <row r="50" spans="2:15" x14ac:dyDescent="0.2">
      <c r="B50" s="19"/>
      <c r="C50" s="19"/>
      <c r="D50" s="19"/>
      <c r="E50" s="19"/>
      <c r="F50" s="19"/>
      <c r="G50" s="19"/>
      <c r="H50" s="19"/>
      <c r="I50" s="19"/>
      <c r="J50" s="19"/>
      <c r="K50" s="19"/>
      <c r="L50" s="19"/>
      <c r="M50" s="19"/>
      <c r="N50" s="19"/>
      <c r="O50" s="19"/>
    </row>
    <row r="51" spans="2:15" x14ac:dyDescent="0.2">
      <c r="B51" s="19"/>
      <c r="C51" s="19"/>
      <c r="D51" s="19"/>
      <c r="E51" s="19"/>
      <c r="F51" s="19"/>
      <c r="G51" s="19"/>
      <c r="H51" s="19"/>
      <c r="I51" s="19"/>
      <c r="J51" s="19"/>
      <c r="K51" s="19"/>
      <c r="L51" s="19"/>
      <c r="M51" s="19"/>
      <c r="N51" s="19"/>
      <c r="O51" s="19"/>
    </row>
    <row r="52" spans="2:15" x14ac:dyDescent="0.2">
      <c r="B52" s="19"/>
      <c r="C52" s="19"/>
      <c r="D52" s="19"/>
      <c r="E52" s="19"/>
      <c r="F52" s="19"/>
      <c r="G52" s="19"/>
      <c r="H52" s="19"/>
      <c r="I52" s="19"/>
      <c r="J52" s="19"/>
      <c r="K52" s="19"/>
      <c r="L52" s="19"/>
      <c r="M52" s="19"/>
      <c r="N52" s="19"/>
      <c r="O52" s="19"/>
    </row>
    <row r="53" spans="2:15" x14ac:dyDescent="0.2">
      <c r="B53" s="297" t="s">
        <v>930</v>
      </c>
      <c r="C53" s="298"/>
      <c r="D53" s="19"/>
      <c r="E53" s="19"/>
      <c r="F53" s="19"/>
      <c r="G53" s="19"/>
      <c r="H53" s="19"/>
      <c r="I53" s="19"/>
      <c r="J53" s="19"/>
      <c r="K53" s="19"/>
      <c r="L53" s="19"/>
      <c r="M53" s="19"/>
      <c r="N53" s="19"/>
      <c r="O53" s="19"/>
    </row>
    <row r="54" spans="2:15" x14ac:dyDescent="0.2">
      <c r="B54" s="298"/>
      <c r="C54" s="299" t="s">
        <v>931</v>
      </c>
      <c r="D54" s="19"/>
      <c r="E54" s="19"/>
      <c r="F54" s="19"/>
      <c r="G54" s="19"/>
      <c r="H54" s="19"/>
      <c r="I54" s="19"/>
      <c r="J54" s="19"/>
      <c r="K54" s="19"/>
      <c r="L54" s="19"/>
      <c r="M54" s="19"/>
      <c r="N54" s="19"/>
      <c r="O54" s="19"/>
    </row>
    <row r="55" spans="2:15" x14ac:dyDescent="0.2">
      <c r="B55" s="19"/>
      <c r="C55" s="19"/>
      <c r="D55" s="19"/>
      <c r="E55" s="19"/>
      <c r="F55" s="19"/>
      <c r="G55" s="19"/>
      <c r="H55" s="19"/>
      <c r="I55" s="19"/>
      <c r="J55" s="19"/>
      <c r="K55" s="19"/>
      <c r="L55" s="19"/>
      <c r="M55" s="19"/>
      <c r="N55" s="19"/>
      <c r="O55" s="19"/>
    </row>
    <row r="56" spans="2:15" x14ac:dyDescent="0.2">
      <c r="B56" s="19"/>
      <c r="C56" s="19"/>
      <c r="D56" s="19"/>
      <c r="E56" s="19"/>
      <c r="F56" s="19"/>
      <c r="G56" s="19"/>
      <c r="H56" s="19"/>
      <c r="I56" s="19"/>
      <c r="J56" s="19"/>
      <c r="K56" s="19"/>
      <c r="L56" s="19"/>
      <c r="M56" s="19"/>
      <c r="N56" s="19"/>
      <c r="O56" s="19"/>
    </row>
    <row r="57" spans="2:15" x14ac:dyDescent="0.2">
      <c r="B57" s="19"/>
      <c r="C57" s="19"/>
      <c r="D57" s="19"/>
      <c r="E57" s="19"/>
      <c r="F57" s="19"/>
      <c r="G57" s="19"/>
      <c r="H57" s="19"/>
      <c r="I57" s="19"/>
      <c r="J57" s="19"/>
      <c r="K57" s="19"/>
      <c r="L57" s="19"/>
      <c r="M57" s="19"/>
      <c r="N57" s="19"/>
      <c r="O57" s="19"/>
    </row>
    <row r="58" spans="2:15" x14ac:dyDescent="0.2">
      <c r="B58" s="19"/>
      <c r="C58" s="19"/>
      <c r="D58" s="19"/>
      <c r="E58" s="19"/>
      <c r="F58" s="19"/>
      <c r="G58" s="19"/>
      <c r="H58" s="19"/>
      <c r="I58" s="19"/>
      <c r="J58" s="19"/>
      <c r="K58" s="19"/>
      <c r="L58" s="19"/>
      <c r="M58" s="19"/>
      <c r="N58" s="19"/>
      <c r="O58" s="19"/>
    </row>
    <row r="59" spans="2:15" x14ac:dyDescent="0.2">
      <c r="B59" s="19"/>
      <c r="C59" s="19"/>
      <c r="D59" s="19"/>
      <c r="E59" s="19"/>
      <c r="F59" s="19"/>
      <c r="G59" s="19"/>
      <c r="H59" s="19"/>
      <c r="I59" s="19"/>
      <c r="J59" s="19"/>
      <c r="K59" s="19"/>
      <c r="L59" s="19"/>
      <c r="M59" s="19"/>
      <c r="N59" s="19"/>
      <c r="O59" s="19"/>
    </row>
    <row r="60" spans="2:15" x14ac:dyDescent="0.2">
      <c r="B60" s="19"/>
      <c r="C60" s="19"/>
      <c r="D60" s="19"/>
      <c r="E60" s="19"/>
      <c r="F60" s="19"/>
      <c r="G60" s="19"/>
      <c r="H60" s="19"/>
      <c r="I60" s="19"/>
      <c r="J60" s="19"/>
      <c r="K60" s="19"/>
      <c r="L60" s="19"/>
      <c r="M60" s="19"/>
      <c r="N60" s="19"/>
      <c r="O60" s="19"/>
    </row>
    <row r="61" spans="2:15" x14ac:dyDescent="0.2">
      <c r="B61" s="19"/>
      <c r="C61" s="19"/>
      <c r="D61" s="19"/>
      <c r="E61" s="19"/>
      <c r="F61" s="19"/>
      <c r="G61" s="19"/>
      <c r="H61" s="19"/>
      <c r="I61" s="19"/>
      <c r="J61" s="19"/>
      <c r="K61" s="19"/>
      <c r="L61" s="19"/>
      <c r="M61" s="19"/>
      <c r="N61" s="19"/>
      <c r="O61" s="19"/>
    </row>
    <row r="62" spans="2:15" x14ac:dyDescent="0.2">
      <c r="B62" s="19"/>
      <c r="C62" s="19"/>
      <c r="D62" s="19"/>
      <c r="E62" s="19"/>
      <c r="F62" s="19"/>
      <c r="G62" s="19"/>
      <c r="H62" s="19"/>
      <c r="I62" s="19"/>
      <c r="J62" s="19"/>
      <c r="K62" s="19"/>
      <c r="L62" s="19"/>
      <c r="M62" s="19"/>
      <c r="N62" s="19"/>
      <c r="O62" s="19"/>
    </row>
    <row r="63" spans="2:15" x14ac:dyDescent="0.2">
      <c r="B63" s="19"/>
      <c r="C63" s="19"/>
      <c r="D63" s="19"/>
      <c r="E63" s="19"/>
      <c r="F63" s="19"/>
      <c r="G63" s="19"/>
      <c r="H63" s="19"/>
      <c r="I63" s="19"/>
      <c r="J63" s="19"/>
      <c r="K63" s="19"/>
      <c r="L63" s="19"/>
      <c r="M63" s="19"/>
      <c r="N63" s="19"/>
      <c r="O63" s="19"/>
    </row>
    <row r="64" spans="2:15" x14ac:dyDescent="0.2">
      <c r="B64" s="19"/>
      <c r="C64" s="19"/>
      <c r="D64" s="19"/>
      <c r="E64" s="19"/>
      <c r="F64" s="19"/>
      <c r="G64" s="19"/>
      <c r="H64" s="19"/>
      <c r="I64" s="19"/>
      <c r="J64" s="19"/>
      <c r="K64" s="19"/>
      <c r="L64" s="19"/>
      <c r="M64" s="19"/>
      <c r="N64" s="19"/>
      <c r="O64" s="19"/>
    </row>
    <row r="65" spans="2:15" x14ac:dyDescent="0.2">
      <c r="B65" s="19"/>
      <c r="C65" s="19"/>
      <c r="D65" s="19"/>
      <c r="E65" s="19"/>
      <c r="F65" s="19"/>
      <c r="G65" s="19"/>
      <c r="H65" s="19"/>
      <c r="I65" s="19"/>
      <c r="J65" s="19"/>
      <c r="K65" s="19"/>
      <c r="L65" s="19"/>
      <c r="M65" s="19"/>
      <c r="N65" s="19"/>
      <c r="O65" s="19"/>
    </row>
    <row r="66" spans="2:15" x14ac:dyDescent="0.2">
      <c r="B66" s="19"/>
      <c r="C66" s="19"/>
      <c r="D66" s="19"/>
      <c r="E66" s="19"/>
      <c r="F66" s="19"/>
      <c r="G66" s="19"/>
      <c r="H66" s="19"/>
      <c r="I66" s="19"/>
      <c r="J66" s="19"/>
      <c r="K66" s="19"/>
      <c r="L66" s="19"/>
      <c r="M66" s="19"/>
      <c r="N66" s="19"/>
      <c r="O66" s="19"/>
    </row>
    <row r="67" spans="2:15" x14ac:dyDescent="0.2">
      <c r="B67" s="19"/>
      <c r="C67" s="19"/>
      <c r="D67" s="19"/>
      <c r="E67" s="19"/>
      <c r="F67" s="19"/>
      <c r="G67" s="19"/>
      <c r="H67" s="19"/>
      <c r="I67" s="19"/>
      <c r="J67" s="19"/>
      <c r="K67" s="19"/>
      <c r="L67" s="19"/>
      <c r="M67" s="19"/>
      <c r="N67" s="19"/>
      <c r="O67" s="19"/>
    </row>
    <row r="68" spans="2:15" x14ac:dyDescent="0.2">
      <c r="B68" s="19"/>
      <c r="C68" s="19"/>
      <c r="D68" s="19"/>
      <c r="E68" s="19"/>
      <c r="F68" s="19"/>
      <c r="G68" s="19"/>
      <c r="H68" s="19"/>
      <c r="I68" s="19"/>
      <c r="J68" s="19"/>
      <c r="K68" s="19"/>
      <c r="L68" s="19"/>
      <c r="M68" s="19"/>
      <c r="N68" s="19"/>
      <c r="O68" s="19"/>
    </row>
    <row r="69" spans="2:15" x14ac:dyDescent="0.2">
      <c r="B69" s="19"/>
      <c r="C69" s="19"/>
      <c r="D69" s="19"/>
      <c r="E69" s="19"/>
      <c r="F69" s="19"/>
      <c r="G69" s="19"/>
      <c r="H69" s="19"/>
      <c r="I69" s="19"/>
      <c r="J69" s="19"/>
      <c r="K69" s="19"/>
      <c r="L69" s="19"/>
      <c r="M69" s="19"/>
      <c r="N69" s="19"/>
      <c r="O69" s="19"/>
    </row>
    <row r="70" spans="2:15" x14ac:dyDescent="0.2">
      <c r="B70" s="19"/>
      <c r="C70" s="19"/>
      <c r="D70" s="19"/>
      <c r="E70" s="19"/>
      <c r="F70" s="19"/>
      <c r="G70" s="19"/>
      <c r="H70" s="19"/>
      <c r="I70" s="19"/>
      <c r="J70" s="19"/>
      <c r="K70" s="19"/>
      <c r="L70" s="19"/>
      <c r="M70" s="19"/>
      <c r="N70" s="19"/>
      <c r="O70" s="19"/>
    </row>
    <row r="71" spans="2:15" x14ac:dyDescent="0.2">
      <c r="B71" s="19"/>
      <c r="C71" s="19"/>
      <c r="D71" s="19"/>
      <c r="E71" s="19"/>
      <c r="F71" s="19"/>
      <c r="G71" s="19"/>
      <c r="H71" s="19"/>
      <c r="I71" s="19"/>
      <c r="J71" s="19"/>
      <c r="K71" s="19"/>
      <c r="L71" s="19"/>
      <c r="M71" s="19"/>
      <c r="N71" s="19"/>
      <c r="O71" s="19"/>
    </row>
    <row r="72" spans="2:15" x14ac:dyDescent="0.2">
      <c r="B72" s="19"/>
      <c r="C72" s="19"/>
      <c r="D72" s="19"/>
      <c r="E72" s="19"/>
      <c r="F72" s="19"/>
      <c r="G72" s="19"/>
      <c r="H72" s="19"/>
      <c r="I72" s="19"/>
      <c r="J72" s="19"/>
      <c r="K72" s="19"/>
      <c r="L72" s="19"/>
      <c r="M72" s="19"/>
      <c r="N72" s="19"/>
      <c r="O72" s="19"/>
    </row>
    <row r="73" spans="2:15" x14ac:dyDescent="0.2">
      <c r="B73" s="19"/>
      <c r="C73" s="19"/>
      <c r="D73" s="19"/>
      <c r="E73" s="19"/>
      <c r="F73" s="19"/>
      <c r="G73" s="19"/>
      <c r="H73" s="19"/>
      <c r="I73" s="19"/>
      <c r="J73" s="19"/>
      <c r="K73" s="19"/>
      <c r="L73" s="19"/>
      <c r="M73" s="19"/>
      <c r="N73" s="19"/>
      <c r="O73" s="19"/>
    </row>
    <row r="74" spans="2:15" x14ac:dyDescent="0.2">
      <c r="B74" s="19"/>
      <c r="C74" s="19"/>
      <c r="D74" s="19"/>
      <c r="E74" s="19"/>
      <c r="F74" s="19"/>
      <c r="G74" s="19"/>
      <c r="H74" s="19"/>
      <c r="I74" s="19"/>
      <c r="J74" s="19"/>
      <c r="K74" s="19"/>
      <c r="L74" s="19"/>
      <c r="M74" s="19"/>
      <c r="N74" s="19"/>
      <c r="O74" s="19"/>
    </row>
    <row r="75" spans="2:15" x14ac:dyDescent="0.2">
      <c r="B75" s="19"/>
      <c r="C75" s="19"/>
      <c r="D75" s="19"/>
      <c r="E75" s="19"/>
      <c r="F75" s="19"/>
      <c r="G75" s="19"/>
      <c r="H75" s="19"/>
      <c r="I75" s="19"/>
      <c r="J75" s="19"/>
      <c r="K75" s="19"/>
      <c r="L75" s="19"/>
      <c r="M75" s="19"/>
      <c r="N75" s="19"/>
      <c r="O75" s="19"/>
    </row>
    <row r="76" spans="2:15" x14ac:dyDescent="0.2">
      <c r="B76" s="19"/>
      <c r="C76" s="19"/>
      <c r="D76" s="19"/>
      <c r="E76" s="19"/>
      <c r="F76" s="19"/>
      <c r="G76" s="19"/>
      <c r="H76" s="19"/>
      <c r="I76" s="19"/>
      <c r="J76" s="19"/>
      <c r="K76" s="19"/>
      <c r="L76" s="19"/>
      <c r="M76" s="19"/>
      <c r="N76" s="19"/>
      <c r="O76" s="19"/>
    </row>
    <row r="77" spans="2:15" x14ac:dyDescent="0.2">
      <c r="B77" s="19"/>
      <c r="C77" s="19"/>
      <c r="D77" s="19"/>
      <c r="E77" s="19"/>
      <c r="F77" s="19"/>
      <c r="G77" s="19"/>
      <c r="H77" s="19"/>
      <c r="I77" s="19"/>
      <c r="J77" s="19"/>
      <c r="K77" s="19"/>
      <c r="L77" s="19"/>
      <c r="M77" s="19"/>
      <c r="N77" s="19"/>
      <c r="O77" s="19"/>
    </row>
    <row r="78" spans="2:15" x14ac:dyDescent="0.2">
      <c r="B78" s="19"/>
      <c r="C78" s="19"/>
      <c r="D78" s="19"/>
      <c r="E78" s="19"/>
      <c r="F78" s="19"/>
      <c r="G78" s="19"/>
      <c r="H78" s="19"/>
      <c r="I78" s="19"/>
      <c r="J78" s="19"/>
      <c r="K78" s="19"/>
      <c r="L78" s="19"/>
      <c r="M78" s="19"/>
      <c r="N78" s="19"/>
      <c r="O78" s="19"/>
    </row>
    <row r="79" spans="2:15" x14ac:dyDescent="0.2">
      <c r="B79" s="19"/>
      <c r="C79" s="19"/>
      <c r="D79" s="19"/>
      <c r="E79" s="19"/>
      <c r="F79" s="19"/>
      <c r="G79" s="19"/>
      <c r="H79" s="19"/>
      <c r="I79" s="19"/>
      <c r="J79" s="19"/>
      <c r="K79" s="19"/>
      <c r="L79" s="19"/>
      <c r="M79" s="19"/>
      <c r="N79" s="19"/>
      <c r="O79" s="19"/>
    </row>
    <row r="80" spans="2:15" x14ac:dyDescent="0.2">
      <c r="B80" s="19"/>
      <c r="C80" s="19"/>
      <c r="D80" s="19"/>
      <c r="E80" s="19"/>
      <c r="F80" s="19"/>
      <c r="G80" s="19"/>
      <c r="H80" s="19"/>
      <c r="I80" s="19"/>
      <c r="J80" s="19"/>
      <c r="K80" s="19"/>
      <c r="L80" s="19"/>
      <c r="M80" s="19"/>
      <c r="N80" s="19"/>
      <c r="O80" s="19"/>
    </row>
    <row r="81" spans="2:15" x14ac:dyDescent="0.2">
      <c r="B81" s="19"/>
      <c r="C81" s="19"/>
      <c r="D81" s="19"/>
      <c r="E81" s="19"/>
      <c r="F81" s="19"/>
      <c r="G81" s="19"/>
      <c r="H81" s="19"/>
      <c r="I81" s="19"/>
      <c r="J81" s="19"/>
      <c r="K81" s="19"/>
      <c r="L81" s="19"/>
      <c r="M81" s="19"/>
      <c r="N81" s="19"/>
      <c r="O81" s="19"/>
    </row>
    <row r="82" spans="2:15" x14ac:dyDescent="0.2">
      <c r="B82" s="19"/>
      <c r="C82" s="19"/>
      <c r="D82" s="19"/>
      <c r="E82" s="19"/>
      <c r="F82" s="19"/>
      <c r="G82" s="19"/>
      <c r="H82" s="19"/>
      <c r="I82" s="19"/>
      <c r="J82" s="19"/>
      <c r="K82" s="19"/>
      <c r="L82" s="19"/>
      <c r="M82" s="19"/>
      <c r="N82" s="19"/>
      <c r="O82" s="19"/>
    </row>
    <row r="83" spans="2:15" x14ac:dyDescent="0.2">
      <c r="B83" s="19"/>
      <c r="C83" s="19"/>
      <c r="D83" s="19"/>
      <c r="E83" s="19"/>
      <c r="F83" s="19"/>
      <c r="G83" s="19"/>
      <c r="H83" s="19"/>
      <c r="I83" s="19"/>
      <c r="J83" s="19"/>
      <c r="K83" s="19"/>
      <c r="L83" s="19"/>
      <c r="M83" s="19"/>
      <c r="N83" s="19"/>
      <c r="O83" s="19"/>
    </row>
    <row r="84" spans="2:15" x14ac:dyDescent="0.2">
      <c r="B84" s="19"/>
      <c r="C84" s="19"/>
      <c r="D84" s="19"/>
      <c r="E84" s="19"/>
      <c r="F84" s="19"/>
      <c r="G84" s="19"/>
      <c r="H84" s="19"/>
      <c r="I84" s="19"/>
      <c r="J84" s="19"/>
      <c r="K84" s="19"/>
      <c r="L84" s="19"/>
      <c r="M84" s="19"/>
      <c r="N84" s="19"/>
      <c r="O84" s="19"/>
    </row>
    <row r="85" spans="2:15" x14ac:dyDescent="0.2">
      <c r="B85" s="19"/>
      <c r="C85" s="19"/>
      <c r="D85" s="19"/>
      <c r="E85" s="19"/>
      <c r="F85" s="19"/>
      <c r="G85" s="19"/>
      <c r="H85" s="19"/>
      <c r="I85" s="19"/>
      <c r="J85" s="19"/>
      <c r="K85" s="19"/>
      <c r="L85" s="19"/>
      <c r="M85" s="19"/>
      <c r="N85" s="19"/>
      <c r="O85" s="19"/>
    </row>
    <row r="86" spans="2:15" x14ac:dyDescent="0.2">
      <c r="B86" s="19"/>
      <c r="C86" s="19"/>
      <c r="D86" s="19"/>
      <c r="E86" s="19"/>
      <c r="F86" s="19"/>
      <c r="G86" s="19"/>
      <c r="H86" s="19"/>
      <c r="I86" s="19"/>
      <c r="J86" s="19"/>
      <c r="K86" s="19"/>
      <c r="L86" s="19"/>
      <c r="M86" s="19"/>
      <c r="N86" s="19"/>
      <c r="O86" s="19"/>
    </row>
    <row r="87" spans="2:15" x14ac:dyDescent="0.2">
      <c r="B87" s="19"/>
      <c r="C87" s="19"/>
      <c r="D87" s="19"/>
      <c r="E87" s="19"/>
      <c r="F87" s="19"/>
      <c r="G87" s="19"/>
      <c r="H87" s="19"/>
      <c r="I87" s="19"/>
      <c r="J87" s="19"/>
      <c r="K87" s="19"/>
      <c r="L87" s="19"/>
      <c r="M87" s="19"/>
      <c r="N87" s="19"/>
      <c r="O87" s="19"/>
    </row>
    <row r="88" spans="2:15" x14ac:dyDescent="0.2">
      <c r="B88" s="19"/>
      <c r="C88" s="19"/>
      <c r="D88" s="19"/>
      <c r="E88" s="19"/>
      <c r="F88" s="19"/>
      <c r="G88" s="19"/>
      <c r="H88" s="19"/>
      <c r="I88" s="19"/>
      <c r="J88" s="19"/>
      <c r="K88" s="19"/>
      <c r="L88" s="19"/>
      <c r="M88" s="19"/>
      <c r="N88" s="19"/>
      <c r="O88" s="19"/>
    </row>
    <row r="89" spans="2:15" x14ac:dyDescent="0.2">
      <c r="B89" s="19"/>
      <c r="C89" s="19"/>
      <c r="D89" s="19"/>
      <c r="E89" s="19"/>
      <c r="F89" s="19"/>
      <c r="G89" s="19"/>
      <c r="H89" s="19"/>
      <c r="I89" s="19"/>
      <c r="J89" s="19"/>
      <c r="K89" s="19"/>
      <c r="L89" s="19"/>
      <c r="M89" s="19"/>
      <c r="N89" s="19"/>
      <c r="O89" s="19"/>
    </row>
    <row r="90" spans="2:15" x14ac:dyDescent="0.2">
      <c r="B90" s="19"/>
      <c r="C90" s="19"/>
      <c r="D90" s="19"/>
      <c r="E90" s="19"/>
      <c r="F90" s="19"/>
      <c r="G90" s="19"/>
      <c r="H90" s="19"/>
      <c r="I90" s="19"/>
      <c r="J90" s="19"/>
      <c r="K90" s="19"/>
      <c r="L90" s="19"/>
      <c r="M90" s="19"/>
      <c r="N90" s="19"/>
      <c r="O90" s="19"/>
    </row>
    <row r="91" spans="2:15" x14ac:dyDescent="0.2">
      <c r="B91" s="19"/>
      <c r="C91" s="19"/>
      <c r="D91" s="19"/>
      <c r="E91" s="19"/>
      <c r="F91" s="19"/>
      <c r="G91" s="19"/>
      <c r="H91" s="19"/>
      <c r="I91" s="19"/>
      <c r="J91" s="19"/>
      <c r="K91" s="19"/>
      <c r="L91" s="19"/>
      <c r="M91" s="19"/>
      <c r="N91" s="19"/>
      <c r="O91" s="19"/>
    </row>
    <row r="92" spans="2:15" x14ac:dyDescent="0.2">
      <c r="B92" s="19"/>
      <c r="C92" s="19"/>
      <c r="D92" s="19"/>
      <c r="E92" s="19"/>
      <c r="F92" s="19"/>
      <c r="G92" s="19"/>
      <c r="H92" s="19"/>
      <c r="I92" s="19"/>
      <c r="J92" s="19"/>
      <c r="K92" s="19"/>
      <c r="L92" s="19"/>
      <c r="M92" s="19"/>
      <c r="N92" s="19"/>
      <c r="O92" s="19"/>
    </row>
    <row r="93" spans="2:15" x14ac:dyDescent="0.2">
      <c r="B93" s="19"/>
      <c r="C93" s="19"/>
      <c r="D93" s="19"/>
      <c r="E93" s="19"/>
      <c r="F93" s="19"/>
      <c r="G93" s="19"/>
      <c r="H93" s="19"/>
      <c r="I93" s="19"/>
      <c r="J93" s="19"/>
      <c r="K93" s="19"/>
      <c r="L93" s="19"/>
      <c r="M93" s="19"/>
      <c r="N93" s="19"/>
      <c r="O93" s="19"/>
    </row>
    <row r="94" spans="2:15" x14ac:dyDescent="0.2">
      <c r="B94" s="19"/>
      <c r="C94" s="19"/>
      <c r="D94" s="19"/>
      <c r="E94" s="19"/>
      <c r="F94" s="19"/>
      <c r="G94" s="19"/>
      <c r="H94" s="19"/>
      <c r="I94" s="19"/>
      <c r="J94" s="19"/>
      <c r="K94" s="19"/>
      <c r="L94" s="19"/>
      <c r="M94" s="19"/>
      <c r="N94" s="19"/>
      <c r="O94" s="19"/>
    </row>
    <row r="95" spans="2:15" x14ac:dyDescent="0.2">
      <c r="B95" s="19"/>
      <c r="C95" s="19"/>
      <c r="D95" s="19"/>
      <c r="E95" s="19"/>
      <c r="F95" s="19"/>
      <c r="G95" s="19"/>
      <c r="H95" s="19"/>
      <c r="I95" s="19"/>
      <c r="J95" s="19"/>
      <c r="K95" s="19"/>
      <c r="L95" s="19"/>
      <c r="M95" s="19"/>
      <c r="N95" s="19"/>
      <c r="O95" s="19"/>
    </row>
    <row r="96" spans="2:15" x14ac:dyDescent="0.2">
      <c r="B96" s="19"/>
      <c r="C96" s="19"/>
      <c r="D96" s="19"/>
      <c r="E96" s="19"/>
      <c r="F96" s="19"/>
      <c r="G96" s="19"/>
      <c r="H96" s="19"/>
      <c r="I96" s="19"/>
      <c r="J96" s="19"/>
      <c r="K96" s="19"/>
      <c r="L96" s="19"/>
      <c r="M96" s="19"/>
      <c r="N96" s="19"/>
      <c r="O96" s="19"/>
    </row>
    <row r="97" spans="2:15" x14ac:dyDescent="0.2">
      <c r="B97" s="19"/>
      <c r="C97" s="19"/>
      <c r="D97" s="19"/>
      <c r="E97" s="19"/>
      <c r="F97" s="19"/>
      <c r="G97" s="19"/>
      <c r="H97" s="19"/>
      <c r="I97" s="19"/>
      <c r="J97" s="19"/>
      <c r="K97" s="19"/>
      <c r="L97" s="19"/>
      <c r="M97" s="19"/>
      <c r="N97" s="19"/>
      <c r="O97" s="19"/>
    </row>
    <row r="98" spans="2:15" x14ac:dyDescent="0.2">
      <c r="B98" s="19"/>
      <c r="C98" s="19"/>
      <c r="D98" s="19"/>
      <c r="E98" s="19"/>
      <c r="F98" s="19"/>
      <c r="G98" s="19"/>
      <c r="H98" s="19"/>
      <c r="I98" s="19"/>
      <c r="J98" s="19"/>
      <c r="K98" s="19"/>
      <c r="L98" s="19"/>
      <c r="M98" s="19"/>
      <c r="N98" s="19"/>
      <c r="O98" s="19"/>
    </row>
    <row r="99" spans="2:15" x14ac:dyDescent="0.2">
      <c r="B99" s="19"/>
      <c r="C99" s="19"/>
      <c r="D99" s="19"/>
      <c r="E99" s="19"/>
      <c r="F99" s="19"/>
      <c r="G99" s="19"/>
      <c r="H99" s="19"/>
      <c r="I99" s="19"/>
      <c r="J99" s="19"/>
      <c r="K99" s="19"/>
      <c r="L99" s="19"/>
      <c r="M99" s="19"/>
      <c r="N99" s="19"/>
      <c r="O99" s="19"/>
    </row>
    <row r="100" spans="2:15" x14ac:dyDescent="0.2">
      <c r="B100" s="19"/>
      <c r="C100" s="19"/>
      <c r="D100" s="19"/>
      <c r="E100" s="19"/>
      <c r="F100" s="19"/>
      <c r="G100" s="19"/>
      <c r="H100" s="19"/>
      <c r="I100" s="19"/>
      <c r="J100" s="19"/>
      <c r="K100" s="19"/>
      <c r="L100" s="19"/>
      <c r="M100" s="19"/>
      <c r="N100" s="19"/>
      <c r="O100" s="19"/>
    </row>
    <row r="101" spans="2:15" x14ac:dyDescent="0.2">
      <c r="B101" s="19"/>
      <c r="C101" s="19"/>
      <c r="D101" s="19"/>
      <c r="E101" s="19"/>
      <c r="F101" s="19"/>
      <c r="G101" s="19"/>
      <c r="H101" s="19"/>
      <c r="I101" s="19"/>
      <c r="J101" s="19"/>
      <c r="K101" s="19"/>
      <c r="L101" s="19"/>
      <c r="M101" s="19"/>
      <c r="N101" s="19"/>
      <c r="O101" s="19"/>
    </row>
    <row r="102" spans="2:15" x14ac:dyDescent="0.2">
      <c r="B102" s="19"/>
      <c r="C102" s="19"/>
      <c r="D102" s="19"/>
      <c r="E102" s="19"/>
      <c r="F102" s="19"/>
      <c r="G102" s="19"/>
      <c r="H102" s="19"/>
      <c r="I102" s="19"/>
      <c r="J102" s="19"/>
      <c r="K102" s="19"/>
      <c r="L102" s="19"/>
      <c r="M102" s="19"/>
      <c r="N102" s="19"/>
      <c r="O102" s="19"/>
    </row>
    <row r="103" spans="2:15" x14ac:dyDescent="0.2">
      <c r="B103" s="19"/>
      <c r="C103" s="19"/>
      <c r="D103" s="19"/>
      <c r="E103" s="19"/>
      <c r="F103" s="19"/>
      <c r="G103" s="19"/>
      <c r="H103" s="19"/>
      <c r="I103" s="19"/>
      <c r="J103" s="19"/>
      <c r="K103" s="19"/>
      <c r="L103" s="19"/>
      <c r="M103" s="19"/>
      <c r="N103" s="19"/>
      <c r="O103" s="19"/>
    </row>
    <row r="104" spans="2:15" x14ac:dyDescent="0.2">
      <c r="B104" s="19"/>
      <c r="C104" s="19"/>
      <c r="D104" s="19"/>
      <c r="E104" s="19"/>
      <c r="F104" s="19"/>
      <c r="G104" s="19"/>
      <c r="H104" s="19"/>
      <c r="I104" s="19"/>
      <c r="J104" s="19"/>
      <c r="K104" s="19"/>
      <c r="L104" s="19"/>
      <c r="M104" s="19"/>
      <c r="N104" s="19"/>
      <c r="O104" s="19"/>
    </row>
    <row r="105" spans="2:15" x14ac:dyDescent="0.2">
      <c r="B105" s="19"/>
      <c r="C105" s="19"/>
      <c r="D105" s="19"/>
      <c r="E105" s="19"/>
      <c r="F105" s="19"/>
      <c r="G105" s="19"/>
      <c r="H105" s="19"/>
      <c r="I105" s="19"/>
      <c r="J105" s="19"/>
      <c r="K105" s="19"/>
      <c r="L105" s="19"/>
      <c r="M105" s="19"/>
      <c r="N105" s="19"/>
      <c r="O105" s="19"/>
    </row>
    <row r="106" spans="2:15" x14ac:dyDescent="0.2">
      <c r="B106" s="19"/>
      <c r="C106" s="19"/>
      <c r="D106" s="19"/>
      <c r="E106" s="19"/>
      <c r="F106" s="19"/>
      <c r="G106" s="19"/>
      <c r="H106" s="19"/>
      <c r="I106" s="19"/>
      <c r="J106" s="19"/>
      <c r="K106" s="19"/>
      <c r="L106" s="19"/>
      <c r="M106" s="19"/>
      <c r="N106" s="19"/>
      <c r="O106" s="19"/>
    </row>
    <row r="107" spans="2:15" x14ac:dyDescent="0.2">
      <c r="B107" s="19"/>
      <c r="C107" s="19"/>
      <c r="D107" s="19"/>
      <c r="E107" s="19"/>
      <c r="F107" s="19"/>
      <c r="G107" s="19"/>
      <c r="H107" s="19"/>
      <c r="I107" s="19"/>
      <c r="J107" s="19"/>
      <c r="K107" s="19"/>
      <c r="L107" s="19"/>
      <c r="M107" s="19"/>
      <c r="N107" s="19"/>
      <c r="O107" s="19"/>
    </row>
    <row r="108" spans="2:15" x14ac:dyDescent="0.2">
      <c r="B108" s="19"/>
      <c r="C108" s="19"/>
      <c r="D108" s="19"/>
      <c r="E108" s="19"/>
      <c r="F108" s="19"/>
      <c r="G108" s="19"/>
      <c r="H108" s="19"/>
      <c r="I108" s="19"/>
      <c r="J108" s="19"/>
      <c r="K108" s="19"/>
      <c r="L108" s="19"/>
      <c r="M108" s="19"/>
      <c r="N108" s="19"/>
      <c r="O108" s="19"/>
    </row>
    <row r="109" spans="2:15" x14ac:dyDescent="0.2">
      <c r="B109" s="19"/>
      <c r="C109" s="19"/>
      <c r="D109" s="19"/>
      <c r="E109" s="19"/>
      <c r="F109" s="19"/>
      <c r="G109" s="19"/>
      <c r="H109" s="19"/>
      <c r="I109" s="19"/>
      <c r="J109" s="19"/>
      <c r="K109" s="19"/>
      <c r="L109" s="19"/>
      <c r="M109" s="19"/>
      <c r="N109" s="19"/>
      <c r="O109" s="19"/>
    </row>
    <row r="110" spans="2:15" x14ac:dyDescent="0.2">
      <c r="B110" s="19"/>
      <c r="C110" s="19"/>
      <c r="D110" s="19"/>
      <c r="E110" s="19"/>
      <c r="F110" s="19"/>
      <c r="G110" s="19"/>
      <c r="H110" s="19"/>
      <c r="I110" s="19"/>
      <c r="J110" s="19"/>
      <c r="K110" s="19"/>
      <c r="L110" s="19"/>
      <c r="M110" s="19"/>
      <c r="N110" s="19"/>
      <c r="O110" s="19"/>
    </row>
    <row r="111" spans="2:15" x14ac:dyDescent="0.2">
      <c r="B111" s="19"/>
      <c r="C111" s="19"/>
      <c r="D111" s="19"/>
      <c r="E111" s="19"/>
      <c r="F111" s="19"/>
      <c r="G111" s="19"/>
      <c r="H111" s="19"/>
      <c r="I111" s="19"/>
      <c r="J111" s="19"/>
      <c r="K111" s="19"/>
      <c r="L111" s="19"/>
      <c r="M111" s="19"/>
      <c r="N111" s="19"/>
      <c r="O111" s="19"/>
    </row>
    <row r="112" spans="2:15" x14ac:dyDescent="0.2">
      <c r="B112" s="19"/>
      <c r="C112" s="19"/>
      <c r="D112" s="19"/>
      <c r="E112" s="19"/>
      <c r="F112" s="19"/>
      <c r="G112" s="19"/>
      <c r="H112" s="19"/>
      <c r="I112" s="19"/>
      <c r="J112" s="19"/>
      <c r="K112" s="19"/>
      <c r="L112" s="19"/>
      <c r="M112" s="19"/>
      <c r="N112" s="19"/>
      <c r="O112" s="19"/>
    </row>
    <row r="113" spans="2:15" x14ac:dyDescent="0.2">
      <c r="B113" s="19"/>
      <c r="C113" s="19"/>
      <c r="D113" s="19"/>
      <c r="E113" s="19"/>
      <c r="F113" s="19"/>
      <c r="G113" s="19"/>
      <c r="H113" s="19"/>
      <c r="I113" s="19"/>
      <c r="J113" s="19"/>
      <c r="K113" s="19"/>
      <c r="L113" s="19"/>
      <c r="M113" s="19"/>
      <c r="N113" s="19"/>
      <c r="O113" s="19"/>
    </row>
    <row r="114" spans="2:15" x14ac:dyDescent="0.2">
      <c r="B114" s="19"/>
      <c r="C114" s="19"/>
      <c r="D114" s="19"/>
      <c r="E114" s="19"/>
      <c r="F114" s="19"/>
      <c r="G114" s="19"/>
      <c r="H114" s="19"/>
      <c r="I114" s="19"/>
      <c r="J114" s="19"/>
      <c r="K114" s="19"/>
      <c r="L114" s="19"/>
      <c r="M114" s="19"/>
      <c r="N114" s="19"/>
      <c r="O114" s="19"/>
    </row>
    <row r="115" spans="2:15" x14ac:dyDescent="0.2">
      <c r="B115" s="19"/>
      <c r="C115" s="19"/>
      <c r="D115" s="19"/>
      <c r="E115" s="19"/>
      <c r="F115" s="19"/>
      <c r="G115" s="19"/>
      <c r="H115" s="19"/>
      <c r="I115" s="19"/>
      <c r="J115" s="19"/>
      <c r="K115" s="19"/>
      <c r="L115" s="19"/>
      <c r="M115" s="19"/>
      <c r="N115" s="19"/>
      <c r="O115" s="19"/>
    </row>
    <row r="116" spans="2:15" x14ac:dyDescent="0.2">
      <c r="B116" s="19"/>
      <c r="C116" s="19"/>
      <c r="D116" s="19"/>
      <c r="E116" s="19"/>
      <c r="F116" s="19"/>
      <c r="G116" s="19"/>
      <c r="H116" s="19"/>
      <c r="I116" s="19"/>
      <c r="J116" s="19"/>
      <c r="K116" s="19"/>
      <c r="L116" s="19"/>
      <c r="M116" s="19"/>
      <c r="N116" s="19"/>
      <c r="O116" s="19"/>
    </row>
    <row r="117" spans="2:15" x14ac:dyDescent="0.2">
      <c r="B117" s="19"/>
      <c r="C117" s="19"/>
      <c r="D117" s="19"/>
      <c r="E117" s="19"/>
      <c r="F117" s="19"/>
      <c r="G117" s="19"/>
      <c r="H117" s="19"/>
      <c r="I117" s="19"/>
      <c r="J117" s="19"/>
      <c r="K117" s="19"/>
      <c r="L117" s="19"/>
      <c r="M117" s="19"/>
      <c r="N117" s="19"/>
      <c r="O117" s="19"/>
    </row>
    <row r="118" spans="2:15" x14ac:dyDescent="0.2">
      <c r="B118" s="19"/>
      <c r="C118" s="19"/>
      <c r="D118" s="19"/>
      <c r="E118" s="19"/>
      <c r="F118" s="19"/>
      <c r="G118" s="19"/>
      <c r="H118" s="19"/>
      <c r="I118" s="19"/>
      <c r="J118" s="19"/>
      <c r="K118" s="19"/>
      <c r="L118" s="19"/>
      <c r="M118" s="19"/>
      <c r="N118" s="19"/>
      <c r="O118" s="19"/>
    </row>
    <row r="119" spans="2:15" x14ac:dyDescent="0.2">
      <c r="B119" s="19"/>
      <c r="C119" s="19"/>
      <c r="D119" s="19"/>
      <c r="E119" s="19"/>
      <c r="F119" s="19"/>
      <c r="G119" s="19"/>
      <c r="H119" s="19"/>
      <c r="I119" s="19"/>
      <c r="J119" s="19"/>
      <c r="K119" s="19"/>
      <c r="L119" s="19"/>
      <c r="M119" s="19"/>
      <c r="N119" s="19"/>
      <c r="O119" s="19"/>
    </row>
    <row r="120" spans="2:15" x14ac:dyDescent="0.2">
      <c r="B120" s="19"/>
      <c r="C120" s="19"/>
      <c r="D120" s="19"/>
      <c r="E120" s="19"/>
      <c r="F120" s="19"/>
      <c r="G120" s="19"/>
      <c r="H120" s="19"/>
      <c r="I120" s="19"/>
      <c r="J120" s="19"/>
      <c r="K120" s="19"/>
      <c r="L120" s="19"/>
      <c r="M120" s="19"/>
      <c r="N120" s="19"/>
      <c r="O120" s="19"/>
    </row>
    <row r="121" spans="2:15" x14ac:dyDescent="0.2">
      <c r="B121" s="19"/>
      <c r="C121" s="19"/>
      <c r="D121" s="19"/>
      <c r="E121" s="19"/>
      <c r="F121" s="19"/>
      <c r="G121" s="19"/>
      <c r="H121" s="19"/>
      <c r="I121" s="19"/>
      <c r="J121" s="19"/>
      <c r="K121" s="19"/>
      <c r="L121" s="19"/>
      <c r="M121" s="19"/>
      <c r="N121" s="19"/>
      <c r="O121" s="19"/>
    </row>
    <row r="122" spans="2:15" x14ac:dyDescent="0.2">
      <c r="B122" s="19"/>
      <c r="C122" s="19"/>
      <c r="D122" s="19"/>
      <c r="E122" s="19"/>
      <c r="F122" s="19"/>
      <c r="G122" s="19"/>
      <c r="H122" s="19"/>
      <c r="I122" s="19"/>
      <c r="J122" s="19"/>
      <c r="K122" s="19"/>
      <c r="L122" s="19"/>
      <c r="M122" s="19"/>
      <c r="N122" s="19"/>
      <c r="O122" s="19"/>
    </row>
    <row r="123" spans="2:15" x14ac:dyDescent="0.2">
      <c r="B123" s="19"/>
      <c r="C123" s="19"/>
      <c r="D123" s="19"/>
      <c r="E123" s="19"/>
      <c r="F123" s="19"/>
      <c r="G123" s="19"/>
      <c r="H123" s="19"/>
      <c r="I123" s="19"/>
      <c r="J123" s="19"/>
      <c r="K123" s="19"/>
      <c r="L123" s="19"/>
      <c r="M123" s="19"/>
      <c r="N123" s="19"/>
      <c r="O123" s="19"/>
    </row>
    <row r="124" spans="2:15" x14ac:dyDescent="0.2">
      <c r="B124" s="19"/>
      <c r="C124" s="19"/>
      <c r="D124" s="19"/>
      <c r="E124" s="19"/>
      <c r="F124" s="19"/>
      <c r="G124" s="19"/>
      <c r="H124" s="19"/>
      <c r="I124" s="19"/>
      <c r="J124" s="19"/>
      <c r="K124" s="19"/>
      <c r="L124" s="19"/>
      <c r="M124" s="19"/>
      <c r="N124" s="19"/>
      <c r="O124" s="19"/>
    </row>
    <row r="125" spans="2:15" x14ac:dyDescent="0.2">
      <c r="B125" s="19"/>
      <c r="C125" s="19"/>
      <c r="D125" s="19"/>
      <c r="E125" s="19"/>
      <c r="F125" s="19"/>
      <c r="G125" s="19"/>
      <c r="H125" s="19"/>
      <c r="I125" s="19"/>
      <c r="J125" s="19"/>
      <c r="K125" s="19"/>
      <c r="L125" s="19"/>
      <c r="M125" s="19"/>
      <c r="N125" s="19"/>
      <c r="O125" s="19"/>
    </row>
    <row r="126" spans="2:15" x14ac:dyDescent="0.2">
      <c r="B126" s="19"/>
      <c r="C126" s="19"/>
      <c r="D126" s="19"/>
      <c r="E126" s="19"/>
      <c r="F126" s="19"/>
      <c r="G126" s="19"/>
      <c r="H126" s="19"/>
      <c r="I126" s="19"/>
      <c r="J126" s="19"/>
      <c r="K126" s="19"/>
      <c r="L126" s="19"/>
      <c r="M126" s="19"/>
      <c r="N126" s="19"/>
      <c r="O126" s="19"/>
    </row>
    <row r="127" spans="2:15" x14ac:dyDescent="0.2">
      <c r="B127" s="19"/>
      <c r="C127" s="19"/>
      <c r="D127" s="19"/>
      <c r="E127" s="19"/>
      <c r="F127" s="19"/>
      <c r="G127" s="19"/>
      <c r="H127" s="19"/>
      <c r="I127" s="19"/>
      <c r="J127" s="19"/>
      <c r="K127" s="19"/>
      <c r="L127" s="19"/>
      <c r="M127" s="19"/>
      <c r="N127" s="19"/>
      <c r="O127" s="19"/>
    </row>
    <row r="128" spans="2:15" x14ac:dyDescent="0.2">
      <c r="B128" s="19"/>
      <c r="C128" s="19"/>
      <c r="D128" s="19"/>
      <c r="E128" s="19"/>
      <c r="F128" s="19"/>
      <c r="G128" s="19"/>
      <c r="H128" s="19"/>
      <c r="I128" s="19"/>
      <c r="J128" s="19"/>
      <c r="K128" s="19"/>
      <c r="L128" s="19"/>
      <c r="M128" s="19"/>
      <c r="N128" s="19"/>
      <c r="O128" s="19"/>
    </row>
    <row r="129" spans="2:15" x14ac:dyDescent="0.2">
      <c r="B129" s="19"/>
      <c r="C129" s="19"/>
      <c r="D129" s="19"/>
      <c r="E129" s="19"/>
      <c r="F129" s="19"/>
      <c r="G129" s="19"/>
      <c r="H129" s="19"/>
      <c r="I129" s="19"/>
      <c r="J129" s="19"/>
      <c r="K129" s="19"/>
      <c r="L129" s="19"/>
      <c r="M129" s="19"/>
      <c r="N129" s="19"/>
      <c r="O129" s="19"/>
    </row>
    <row r="130" spans="2:15" x14ac:dyDescent="0.2">
      <c r="B130" s="19"/>
      <c r="C130" s="19"/>
      <c r="D130" s="19"/>
      <c r="E130" s="19"/>
      <c r="F130" s="19"/>
      <c r="G130" s="19"/>
      <c r="H130" s="19"/>
      <c r="I130" s="19"/>
      <c r="J130" s="19"/>
      <c r="K130" s="19"/>
      <c r="L130" s="19"/>
      <c r="M130" s="19"/>
      <c r="N130" s="19"/>
      <c r="O130" s="19"/>
    </row>
    <row r="131" spans="2:15" x14ac:dyDescent="0.2">
      <c r="B131" s="19"/>
      <c r="C131" s="19"/>
      <c r="D131" s="19"/>
      <c r="E131" s="19"/>
      <c r="F131" s="19"/>
      <c r="G131" s="19"/>
      <c r="H131" s="19"/>
      <c r="I131" s="19"/>
      <c r="J131" s="19"/>
      <c r="K131" s="19"/>
      <c r="L131" s="19"/>
      <c r="M131" s="19"/>
      <c r="N131" s="19"/>
      <c r="O131" s="19"/>
    </row>
    <row r="132" spans="2:15" x14ac:dyDescent="0.2">
      <c r="B132" s="19"/>
      <c r="C132" s="19"/>
      <c r="D132" s="19"/>
      <c r="E132" s="19"/>
      <c r="F132" s="19"/>
      <c r="G132" s="19"/>
      <c r="H132" s="19"/>
      <c r="I132" s="19"/>
      <c r="J132" s="19"/>
      <c r="K132" s="19"/>
      <c r="L132" s="19"/>
      <c r="M132" s="19"/>
      <c r="N132" s="19"/>
      <c r="O132" s="19"/>
    </row>
    <row r="133" spans="2:15" x14ac:dyDescent="0.2">
      <c r="B133" s="19"/>
      <c r="C133" s="19"/>
      <c r="D133" s="19"/>
      <c r="E133" s="19"/>
      <c r="F133" s="19"/>
      <c r="G133" s="19"/>
      <c r="H133" s="19"/>
      <c r="I133" s="19"/>
      <c r="J133" s="19"/>
      <c r="K133" s="19"/>
      <c r="L133" s="19"/>
      <c r="M133" s="19"/>
      <c r="N133" s="19"/>
      <c r="O133" s="19"/>
    </row>
    <row r="134" spans="2:15" x14ac:dyDescent="0.2">
      <c r="B134" s="19"/>
      <c r="C134" s="19"/>
      <c r="D134" s="19"/>
      <c r="E134" s="19"/>
      <c r="F134" s="19"/>
      <c r="G134" s="19"/>
      <c r="H134" s="19"/>
      <c r="I134" s="19"/>
      <c r="J134" s="19"/>
      <c r="K134" s="19"/>
      <c r="L134" s="19"/>
      <c r="M134" s="19"/>
      <c r="N134" s="19"/>
      <c r="O134" s="19"/>
    </row>
    <row r="135" spans="2:15" x14ac:dyDescent="0.2">
      <c r="B135" s="19"/>
      <c r="C135" s="19"/>
      <c r="D135" s="19"/>
      <c r="E135" s="19"/>
      <c r="F135" s="19"/>
      <c r="G135" s="19"/>
      <c r="H135" s="19"/>
      <c r="I135" s="19"/>
      <c r="J135" s="19"/>
      <c r="K135" s="19"/>
      <c r="L135" s="19"/>
      <c r="M135" s="19"/>
      <c r="N135" s="19"/>
      <c r="O135" s="19"/>
    </row>
    <row r="136" spans="2:15" x14ac:dyDescent="0.2">
      <c r="B136" s="19"/>
      <c r="C136" s="19"/>
      <c r="D136" s="19"/>
      <c r="E136" s="19"/>
      <c r="F136" s="19"/>
      <c r="G136" s="19"/>
      <c r="H136" s="19"/>
      <c r="I136" s="19"/>
      <c r="J136" s="19"/>
      <c r="K136" s="19"/>
      <c r="L136" s="19"/>
      <c r="M136" s="19"/>
      <c r="N136" s="19"/>
      <c r="O136" s="19"/>
    </row>
    <row r="137" spans="2:15" x14ac:dyDescent="0.2">
      <c r="B137" s="19"/>
      <c r="C137" s="19"/>
      <c r="D137" s="19"/>
      <c r="E137" s="19"/>
      <c r="F137" s="19"/>
      <c r="G137" s="19"/>
      <c r="H137" s="19"/>
      <c r="I137" s="19"/>
      <c r="J137" s="19"/>
      <c r="K137" s="19"/>
      <c r="L137" s="19"/>
      <c r="M137" s="19"/>
      <c r="N137" s="19"/>
      <c r="O137" s="19"/>
    </row>
    <row r="138" spans="2:15" x14ac:dyDescent="0.2">
      <c r="B138" s="19"/>
      <c r="C138" s="19"/>
      <c r="D138" s="19"/>
      <c r="E138" s="19"/>
      <c r="F138" s="19"/>
      <c r="G138" s="19"/>
      <c r="H138" s="19"/>
      <c r="I138" s="19"/>
      <c r="J138" s="19"/>
      <c r="K138" s="19"/>
      <c r="L138" s="19"/>
      <c r="M138" s="19"/>
      <c r="N138" s="19"/>
      <c r="O138" s="19"/>
    </row>
    <row r="139" spans="2:15" x14ac:dyDescent="0.2">
      <c r="B139" s="19"/>
      <c r="C139" s="19"/>
      <c r="D139" s="19"/>
      <c r="E139" s="19"/>
      <c r="F139" s="19"/>
      <c r="G139" s="19"/>
      <c r="H139" s="19"/>
      <c r="I139" s="19"/>
      <c r="J139" s="19"/>
      <c r="K139" s="19"/>
      <c r="L139" s="19"/>
      <c r="M139" s="19"/>
      <c r="N139" s="19"/>
      <c r="O139" s="19"/>
    </row>
    <row r="140" spans="2:15" x14ac:dyDescent="0.2">
      <c r="B140" s="19"/>
      <c r="C140" s="19"/>
      <c r="D140" s="19"/>
      <c r="E140" s="19"/>
      <c r="F140" s="19"/>
      <c r="G140" s="19"/>
      <c r="H140" s="19"/>
      <c r="I140" s="19"/>
      <c r="J140" s="19"/>
      <c r="K140" s="19"/>
      <c r="L140" s="19"/>
      <c r="M140" s="19"/>
      <c r="N140" s="19"/>
      <c r="O140" s="19"/>
    </row>
    <row r="141" spans="2:15" x14ac:dyDescent="0.2">
      <c r="B141" s="19"/>
      <c r="C141" s="19"/>
      <c r="D141" s="19"/>
      <c r="E141" s="19"/>
      <c r="F141" s="19"/>
      <c r="G141" s="19"/>
      <c r="H141" s="19"/>
      <c r="I141" s="19"/>
      <c r="J141" s="19"/>
      <c r="K141" s="19"/>
      <c r="L141" s="19"/>
      <c r="M141" s="19"/>
      <c r="N141" s="19"/>
      <c r="O141" s="19"/>
    </row>
    <row r="142" spans="2:15" x14ac:dyDescent="0.2">
      <c r="B142" s="19"/>
      <c r="C142" s="19"/>
      <c r="D142" s="19"/>
      <c r="E142" s="19"/>
      <c r="F142" s="19"/>
      <c r="G142" s="19"/>
      <c r="H142" s="19"/>
      <c r="I142" s="19"/>
      <c r="J142" s="19"/>
      <c r="K142" s="19"/>
      <c r="L142" s="19"/>
      <c r="M142" s="19"/>
      <c r="N142" s="19"/>
      <c r="O142" s="19"/>
    </row>
    <row r="143" spans="2:15" x14ac:dyDescent="0.2">
      <c r="B143" s="19"/>
      <c r="C143" s="19"/>
      <c r="D143" s="19"/>
      <c r="E143" s="19"/>
      <c r="F143" s="19"/>
      <c r="G143" s="19"/>
      <c r="H143" s="19"/>
      <c r="I143" s="19"/>
      <c r="J143" s="19"/>
      <c r="K143" s="19"/>
      <c r="L143" s="19"/>
      <c r="M143" s="19"/>
      <c r="N143" s="19"/>
      <c r="O143" s="19"/>
    </row>
    <row r="144" spans="2:15" x14ac:dyDescent="0.2">
      <c r="B144" s="19"/>
      <c r="C144" s="19"/>
      <c r="D144" s="19"/>
      <c r="E144" s="19"/>
      <c r="F144" s="19"/>
      <c r="G144" s="19"/>
      <c r="H144" s="19"/>
      <c r="I144" s="19"/>
      <c r="J144" s="19"/>
      <c r="K144" s="19"/>
      <c r="L144" s="19"/>
      <c r="M144" s="19"/>
      <c r="N144" s="19"/>
      <c r="O144" s="19"/>
    </row>
    <row r="145" spans="2:15" x14ac:dyDescent="0.2">
      <c r="B145" s="19"/>
      <c r="C145" s="19"/>
      <c r="D145" s="19"/>
      <c r="E145" s="19"/>
      <c r="F145" s="19"/>
      <c r="G145" s="19"/>
      <c r="H145" s="19"/>
      <c r="I145" s="19"/>
      <c r="J145" s="19"/>
      <c r="K145" s="19"/>
      <c r="L145" s="19"/>
      <c r="M145" s="19"/>
      <c r="N145" s="19"/>
      <c r="O145" s="19"/>
    </row>
    <row r="146" spans="2:15" x14ac:dyDescent="0.2">
      <c r="B146" s="19"/>
      <c r="C146" s="19"/>
      <c r="D146" s="19"/>
      <c r="E146" s="19"/>
      <c r="F146" s="19"/>
      <c r="G146" s="19"/>
      <c r="H146" s="19"/>
      <c r="I146" s="19"/>
      <c r="J146" s="19"/>
      <c r="K146" s="19"/>
      <c r="L146" s="19"/>
      <c r="M146" s="19"/>
      <c r="N146" s="19"/>
      <c r="O146" s="19"/>
    </row>
    <row r="147" spans="2:15" x14ac:dyDescent="0.2">
      <c r="B147" s="19"/>
      <c r="C147" s="19"/>
      <c r="D147" s="19"/>
      <c r="E147" s="19"/>
      <c r="F147" s="19"/>
      <c r="G147" s="19"/>
      <c r="H147" s="19"/>
      <c r="I147" s="19"/>
      <c r="J147" s="19"/>
      <c r="K147" s="19"/>
      <c r="L147" s="19"/>
      <c r="M147" s="19"/>
      <c r="N147" s="19"/>
      <c r="O147" s="19"/>
    </row>
    <row r="148" spans="2:15" x14ac:dyDescent="0.2">
      <c r="B148" s="19"/>
      <c r="C148" s="19"/>
      <c r="D148" s="19"/>
      <c r="E148" s="19"/>
      <c r="F148" s="19"/>
      <c r="G148" s="19"/>
      <c r="H148" s="19"/>
      <c r="I148" s="19"/>
      <c r="J148" s="19"/>
      <c r="K148" s="19"/>
      <c r="L148" s="19"/>
      <c r="M148" s="19"/>
      <c r="N148" s="19"/>
      <c r="O148" s="19"/>
    </row>
    <row r="149" spans="2:15" x14ac:dyDescent="0.2">
      <c r="B149" s="19"/>
      <c r="C149" s="19"/>
      <c r="D149" s="19"/>
      <c r="E149" s="19"/>
      <c r="F149" s="19"/>
      <c r="G149" s="19"/>
      <c r="H149" s="19"/>
      <c r="I149" s="19"/>
      <c r="J149" s="19"/>
      <c r="K149" s="19"/>
      <c r="L149" s="19"/>
      <c r="M149" s="19"/>
      <c r="N149" s="19"/>
      <c r="O149" s="19"/>
    </row>
    <row r="150" spans="2:15" x14ac:dyDescent="0.2">
      <c r="B150" s="19"/>
      <c r="C150" s="19"/>
      <c r="D150" s="19"/>
      <c r="E150" s="19"/>
      <c r="F150" s="19"/>
      <c r="G150" s="19"/>
      <c r="H150" s="19"/>
      <c r="I150" s="19"/>
      <c r="J150" s="19"/>
      <c r="K150" s="19"/>
      <c r="L150" s="19"/>
      <c r="M150" s="19"/>
      <c r="N150" s="19"/>
      <c r="O150" s="19"/>
    </row>
    <row r="151" spans="2:15" x14ac:dyDescent="0.2">
      <c r="B151" s="19"/>
      <c r="C151" s="19"/>
      <c r="D151" s="19"/>
      <c r="E151" s="19"/>
      <c r="F151" s="19"/>
      <c r="G151" s="19"/>
      <c r="H151" s="19"/>
      <c r="I151" s="19"/>
      <c r="J151" s="19"/>
      <c r="K151" s="19"/>
      <c r="L151" s="19"/>
      <c r="M151" s="19"/>
      <c r="N151" s="19"/>
      <c r="O151" s="19"/>
    </row>
    <row r="152" spans="2:15" x14ac:dyDescent="0.2">
      <c r="B152" s="19"/>
      <c r="C152" s="19"/>
      <c r="D152" s="19"/>
      <c r="E152" s="19"/>
      <c r="F152" s="19"/>
      <c r="G152" s="19"/>
      <c r="H152" s="19"/>
      <c r="I152" s="19"/>
      <c r="J152" s="19"/>
      <c r="K152" s="19"/>
      <c r="L152" s="19"/>
      <c r="M152" s="19"/>
      <c r="N152" s="19"/>
      <c r="O152" s="19"/>
    </row>
    <row r="153" spans="2:15" x14ac:dyDescent="0.2">
      <c r="B153" s="19"/>
      <c r="C153" s="19"/>
      <c r="D153" s="19"/>
      <c r="E153" s="19"/>
      <c r="F153" s="19"/>
      <c r="G153" s="19"/>
      <c r="H153" s="19"/>
      <c r="I153" s="19"/>
      <c r="J153" s="19"/>
      <c r="K153" s="19"/>
      <c r="L153" s="19"/>
      <c r="M153" s="19"/>
      <c r="N153" s="19"/>
      <c r="O153" s="19"/>
    </row>
    <row r="154" spans="2:15" x14ac:dyDescent="0.2">
      <c r="B154" s="19"/>
      <c r="C154" s="19"/>
      <c r="D154" s="19"/>
      <c r="E154" s="19"/>
      <c r="F154" s="19"/>
      <c r="G154" s="19"/>
      <c r="H154" s="19"/>
      <c r="I154" s="19"/>
      <c r="J154" s="19"/>
      <c r="K154" s="19"/>
      <c r="L154" s="19"/>
      <c r="M154" s="19"/>
      <c r="N154" s="19"/>
      <c r="O154" s="19"/>
    </row>
    <row r="155" spans="2:15" x14ac:dyDescent="0.2">
      <c r="B155" s="19"/>
      <c r="C155" s="19"/>
      <c r="D155" s="19"/>
      <c r="E155" s="19"/>
      <c r="F155" s="19"/>
      <c r="G155" s="19"/>
      <c r="H155" s="19"/>
      <c r="I155" s="19"/>
      <c r="J155" s="19"/>
      <c r="K155" s="19"/>
      <c r="L155" s="19"/>
      <c r="M155" s="19"/>
      <c r="N155" s="19"/>
      <c r="O155" s="19"/>
    </row>
    <row r="156" spans="2:15" x14ac:dyDescent="0.2">
      <c r="B156" s="19"/>
      <c r="C156" s="19"/>
      <c r="D156" s="19"/>
      <c r="E156" s="19"/>
      <c r="F156" s="19"/>
      <c r="G156" s="19"/>
      <c r="H156" s="19"/>
      <c r="I156" s="19"/>
      <c r="J156" s="19"/>
      <c r="K156" s="19"/>
      <c r="L156" s="19"/>
      <c r="M156" s="19"/>
      <c r="N156" s="19"/>
      <c r="O156" s="19"/>
    </row>
    <row r="157" spans="2:15" x14ac:dyDescent="0.2">
      <c r="B157" s="19"/>
      <c r="C157" s="19"/>
      <c r="D157" s="19"/>
      <c r="E157" s="19"/>
      <c r="F157" s="19"/>
      <c r="G157" s="19"/>
      <c r="H157" s="19"/>
      <c r="I157" s="19"/>
      <c r="J157" s="19"/>
      <c r="K157" s="19"/>
      <c r="L157" s="19"/>
      <c r="M157" s="19"/>
      <c r="N157" s="19"/>
      <c r="O157" s="19"/>
    </row>
    <row r="158" spans="2:15" x14ac:dyDescent="0.2">
      <c r="B158" s="19"/>
      <c r="C158" s="19"/>
      <c r="D158" s="19"/>
      <c r="E158" s="19"/>
      <c r="F158" s="19"/>
      <c r="G158" s="19"/>
      <c r="H158" s="19"/>
      <c r="I158" s="19"/>
      <c r="J158" s="19"/>
      <c r="K158" s="19"/>
      <c r="L158" s="19"/>
      <c r="M158" s="19"/>
      <c r="N158" s="19"/>
      <c r="O158" s="19"/>
    </row>
    <row r="159" spans="2:15" x14ac:dyDescent="0.2">
      <c r="B159" s="19"/>
      <c r="C159" s="19"/>
      <c r="D159" s="19"/>
      <c r="E159" s="19"/>
      <c r="F159" s="19"/>
      <c r="G159" s="19"/>
      <c r="H159" s="19"/>
      <c r="I159" s="19"/>
      <c r="J159" s="19"/>
      <c r="K159" s="19"/>
      <c r="L159" s="19"/>
      <c r="M159" s="19"/>
      <c r="N159" s="19"/>
      <c r="O159" s="19"/>
    </row>
    <row r="160" spans="2:15" x14ac:dyDescent="0.2">
      <c r="B160" s="19"/>
      <c r="C160" s="19"/>
      <c r="D160" s="19"/>
      <c r="E160" s="19"/>
      <c r="F160" s="19"/>
      <c r="G160" s="19"/>
      <c r="H160" s="19"/>
      <c r="I160" s="19"/>
      <c r="J160" s="19"/>
      <c r="K160" s="19"/>
      <c r="L160" s="19"/>
      <c r="M160" s="19"/>
      <c r="N160" s="19"/>
      <c r="O160" s="19"/>
    </row>
    <row r="161" spans="2:15" x14ac:dyDescent="0.2">
      <c r="B161" s="19"/>
      <c r="C161" s="19"/>
      <c r="D161" s="19"/>
      <c r="E161" s="19"/>
      <c r="F161" s="19"/>
      <c r="G161" s="19"/>
      <c r="H161" s="19"/>
      <c r="I161" s="19"/>
      <c r="J161" s="19"/>
      <c r="K161" s="19"/>
      <c r="L161" s="19"/>
      <c r="M161" s="19"/>
      <c r="N161" s="19"/>
      <c r="O161" s="19"/>
    </row>
    <row r="162" spans="2:15" x14ac:dyDescent="0.2">
      <c r="B162" s="19"/>
      <c r="C162" s="19"/>
      <c r="D162" s="19"/>
      <c r="E162" s="19"/>
      <c r="F162" s="19"/>
      <c r="G162" s="19"/>
      <c r="H162" s="19"/>
      <c r="I162" s="19"/>
      <c r="J162" s="19"/>
      <c r="K162" s="19"/>
      <c r="L162" s="19"/>
      <c r="M162" s="19"/>
      <c r="N162" s="19"/>
      <c r="O162" s="19"/>
    </row>
    <row r="163" spans="2:15" x14ac:dyDescent="0.2">
      <c r="B163" s="19"/>
      <c r="C163" s="19"/>
      <c r="D163" s="19"/>
      <c r="E163" s="19"/>
      <c r="F163" s="19"/>
      <c r="G163" s="19"/>
      <c r="H163" s="19"/>
      <c r="I163" s="19"/>
      <c r="J163" s="19"/>
      <c r="K163" s="19"/>
      <c r="L163" s="19"/>
      <c r="M163" s="19"/>
      <c r="N163" s="19"/>
      <c r="O163" s="19"/>
    </row>
    <row r="164" spans="2:15" x14ac:dyDescent="0.2">
      <c r="B164" s="19"/>
      <c r="C164" s="19"/>
      <c r="D164" s="19"/>
      <c r="E164" s="19"/>
      <c r="F164" s="19"/>
      <c r="G164" s="19"/>
      <c r="H164" s="19"/>
      <c r="I164" s="19"/>
      <c r="J164" s="19"/>
      <c r="K164" s="19"/>
      <c r="L164" s="19"/>
      <c r="M164" s="19"/>
      <c r="N164" s="19"/>
      <c r="O164" s="19"/>
    </row>
    <row r="165" spans="2:15" x14ac:dyDescent="0.2">
      <c r="B165" s="19"/>
      <c r="C165" s="19"/>
      <c r="D165" s="19"/>
      <c r="E165" s="19"/>
      <c r="F165" s="19"/>
      <c r="G165" s="19"/>
      <c r="H165" s="19"/>
      <c r="I165" s="19"/>
      <c r="J165" s="19"/>
      <c r="K165" s="19"/>
      <c r="L165" s="19"/>
      <c r="M165" s="19"/>
      <c r="N165" s="19"/>
      <c r="O165" s="19"/>
    </row>
    <row r="166" spans="2:15" x14ac:dyDescent="0.2">
      <c r="B166" s="19"/>
      <c r="C166" s="19"/>
      <c r="D166" s="19"/>
      <c r="E166" s="19"/>
      <c r="F166" s="19"/>
      <c r="G166" s="19"/>
      <c r="H166" s="19"/>
      <c r="I166" s="19"/>
      <c r="J166" s="19"/>
      <c r="K166" s="19"/>
      <c r="L166" s="19"/>
      <c r="M166" s="19"/>
      <c r="N166" s="19"/>
      <c r="O166" s="19"/>
    </row>
    <row r="167" spans="2:15" x14ac:dyDescent="0.2">
      <c r="B167" s="19"/>
      <c r="C167" s="19"/>
      <c r="D167" s="19"/>
      <c r="E167" s="19"/>
      <c r="F167" s="19"/>
      <c r="G167" s="19"/>
      <c r="H167" s="19"/>
      <c r="I167" s="19"/>
      <c r="J167" s="19"/>
      <c r="K167" s="19"/>
      <c r="L167" s="19"/>
      <c r="M167" s="19"/>
      <c r="N167" s="19"/>
      <c r="O167" s="19"/>
    </row>
    <row r="168" spans="2:15" x14ac:dyDescent="0.2">
      <c r="B168" s="19"/>
      <c r="C168" s="19"/>
      <c r="D168" s="19"/>
      <c r="E168" s="19"/>
      <c r="F168" s="19"/>
      <c r="G168" s="19"/>
      <c r="H168" s="19"/>
      <c r="I168" s="19"/>
      <c r="J168" s="19"/>
      <c r="K168" s="19"/>
      <c r="L168" s="19"/>
      <c r="M168" s="19"/>
      <c r="N168" s="19"/>
      <c r="O168" s="19"/>
    </row>
    <row r="169" spans="2:15" x14ac:dyDescent="0.2">
      <c r="B169" s="19"/>
      <c r="C169" s="19"/>
      <c r="D169" s="19"/>
      <c r="E169" s="19"/>
      <c r="F169" s="19"/>
      <c r="G169" s="19"/>
      <c r="H169" s="19"/>
      <c r="I169" s="19"/>
      <c r="J169" s="19"/>
      <c r="K169" s="19"/>
      <c r="L169" s="19"/>
      <c r="M169" s="19"/>
      <c r="N169" s="19"/>
      <c r="O169" s="19"/>
    </row>
    <row r="170" spans="2:15" x14ac:dyDescent="0.2">
      <c r="B170" s="19"/>
      <c r="C170" s="19"/>
      <c r="D170" s="19"/>
      <c r="E170" s="19"/>
      <c r="F170" s="19"/>
      <c r="G170" s="19"/>
      <c r="H170" s="19"/>
      <c r="I170" s="19"/>
      <c r="J170" s="19"/>
      <c r="K170" s="19"/>
      <c r="L170" s="19"/>
      <c r="M170" s="19"/>
      <c r="N170" s="19"/>
      <c r="O170" s="19"/>
    </row>
    <row r="171" spans="2:15" x14ac:dyDescent="0.2">
      <c r="B171" s="19"/>
      <c r="C171" s="19"/>
      <c r="D171" s="19"/>
      <c r="E171" s="19"/>
      <c r="F171" s="19"/>
      <c r="G171" s="19"/>
      <c r="H171" s="19"/>
      <c r="I171" s="19"/>
      <c r="J171" s="19"/>
      <c r="K171" s="19"/>
      <c r="L171" s="19"/>
      <c r="M171" s="19"/>
      <c r="N171" s="19"/>
      <c r="O171" s="19"/>
    </row>
    <row r="172" spans="2:15" x14ac:dyDescent="0.2">
      <c r="B172" s="19"/>
      <c r="C172" s="19"/>
      <c r="D172" s="19"/>
      <c r="E172" s="19"/>
      <c r="F172" s="19"/>
      <c r="G172" s="19"/>
      <c r="H172" s="19"/>
      <c r="I172" s="19"/>
      <c r="J172" s="19"/>
      <c r="K172" s="19"/>
      <c r="L172" s="19"/>
      <c r="M172" s="19"/>
      <c r="N172" s="19"/>
      <c r="O172" s="19"/>
    </row>
    <row r="173" spans="2:15" x14ac:dyDescent="0.2">
      <c r="B173" s="19"/>
      <c r="C173" s="19"/>
      <c r="D173" s="19"/>
      <c r="E173" s="19"/>
      <c r="F173" s="19"/>
      <c r="G173" s="19"/>
      <c r="H173" s="19"/>
      <c r="I173" s="19"/>
      <c r="J173" s="19"/>
      <c r="K173" s="19"/>
      <c r="L173" s="19"/>
      <c r="M173" s="19"/>
      <c r="N173" s="19"/>
      <c r="O173" s="19"/>
    </row>
    <row r="174" spans="2:15" x14ac:dyDescent="0.2">
      <c r="B174" s="19"/>
      <c r="C174" s="19"/>
      <c r="D174" s="19"/>
      <c r="E174" s="19"/>
      <c r="F174" s="19"/>
      <c r="G174" s="19"/>
      <c r="H174" s="19"/>
      <c r="I174" s="19"/>
      <c r="J174" s="19"/>
      <c r="K174" s="19"/>
      <c r="L174" s="19"/>
      <c r="M174" s="19"/>
      <c r="N174" s="19"/>
      <c r="O174" s="19"/>
    </row>
    <row r="175" spans="2:15" x14ac:dyDescent="0.2">
      <c r="B175" s="19"/>
      <c r="C175" s="19"/>
      <c r="D175" s="19"/>
      <c r="E175" s="19"/>
      <c r="F175" s="19"/>
      <c r="G175" s="19"/>
      <c r="H175" s="19"/>
      <c r="I175" s="19"/>
      <c r="J175" s="19"/>
      <c r="K175" s="19"/>
      <c r="L175" s="19"/>
      <c r="M175" s="19"/>
      <c r="N175" s="19"/>
      <c r="O175" s="19"/>
    </row>
    <row r="176" spans="2:15" x14ac:dyDescent="0.2">
      <c r="B176" s="19"/>
      <c r="C176" s="19"/>
      <c r="D176" s="19"/>
      <c r="E176" s="19"/>
      <c r="F176" s="19"/>
      <c r="G176" s="19"/>
      <c r="H176" s="19"/>
      <c r="I176" s="19"/>
      <c r="J176" s="19"/>
      <c r="K176" s="19"/>
      <c r="L176" s="19"/>
      <c r="M176" s="19"/>
      <c r="N176" s="19"/>
      <c r="O176" s="19"/>
    </row>
    <row r="177" spans="2:15" x14ac:dyDescent="0.2">
      <c r="B177" s="19"/>
      <c r="C177" s="19"/>
      <c r="D177" s="19"/>
      <c r="E177" s="19"/>
      <c r="F177" s="19"/>
      <c r="G177" s="19"/>
      <c r="H177" s="19"/>
      <c r="I177" s="19"/>
      <c r="J177" s="19"/>
      <c r="K177" s="19"/>
      <c r="L177" s="19"/>
      <c r="M177" s="19"/>
      <c r="N177" s="19"/>
      <c r="O177" s="19"/>
    </row>
    <row r="178" spans="2:15" x14ac:dyDescent="0.2">
      <c r="B178" s="19"/>
      <c r="C178" s="19"/>
      <c r="D178" s="19"/>
      <c r="E178" s="19"/>
      <c r="F178" s="19"/>
      <c r="G178" s="19"/>
      <c r="H178" s="19"/>
      <c r="I178" s="19"/>
      <c r="J178" s="19"/>
      <c r="K178" s="19"/>
      <c r="L178" s="19"/>
      <c r="M178" s="19"/>
      <c r="N178" s="19"/>
      <c r="O178" s="19"/>
    </row>
    <row r="179" spans="2:15" x14ac:dyDescent="0.2">
      <c r="B179" s="19"/>
      <c r="C179" s="19"/>
      <c r="D179" s="19"/>
      <c r="E179" s="19"/>
      <c r="F179" s="19"/>
      <c r="G179" s="19"/>
      <c r="H179" s="19"/>
      <c r="I179" s="19"/>
      <c r="J179" s="19"/>
      <c r="K179" s="19"/>
      <c r="L179" s="19"/>
      <c r="M179" s="19"/>
      <c r="N179" s="19"/>
      <c r="O179" s="19"/>
    </row>
    <row r="180" spans="2:15" x14ac:dyDescent="0.2">
      <c r="B180" s="19"/>
      <c r="C180" s="19"/>
      <c r="D180" s="19"/>
      <c r="E180" s="19"/>
      <c r="F180" s="19"/>
      <c r="G180" s="19"/>
      <c r="H180" s="19"/>
      <c r="I180" s="19"/>
      <c r="J180" s="19"/>
      <c r="K180" s="19"/>
      <c r="L180" s="19"/>
      <c r="M180" s="19"/>
      <c r="N180" s="19"/>
      <c r="O180" s="19"/>
    </row>
    <row r="181" spans="2:15" x14ac:dyDescent="0.2">
      <c r="B181" s="19"/>
      <c r="C181" s="19"/>
      <c r="D181" s="19"/>
      <c r="E181" s="19"/>
      <c r="F181" s="19"/>
      <c r="G181" s="19"/>
      <c r="H181" s="19"/>
      <c r="I181" s="19"/>
      <c r="J181" s="19"/>
      <c r="K181" s="19"/>
      <c r="L181" s="19"/>
      <c r="M181" s="19"/>
      <c r="N181" s="19"/>
      <c r="O181" s="19"/>
    </row>
    <row r="182" spans="2:15" x14ac:dyDescent="0.2">
      <c r="B182" s="19"/>
      <c r="C182" s="19"/>
      <c r="D182" s="19"/>
      <c r="E182" s="19"/>
      <c r="F182" s="19"/>
      <c r="G182" s="19"/>
      <c r="H182" s="19"/>
      <c r="I182" s="19"/>
      <c r="J182" s="19"/>
      <c r="K182" s="19"/>
      <c r="L182" s="19"/>
      <c r="M182" s="19"/>
      <c r="N182" s="19"/>
      <c r="O182" s="19"/>
    </row>
    <row r="183" spans="2:15" x14ac:dyDescent="0.2">
      <c r="B183" s="19"/>
      <c r="C183" s="19"/>
      <c r="D183" s="19"/>
      <c r="E183" s="19"/>
      <c r="F183" s="19"/>
      <c r="G183" s="19"/>
      <c r="H183" s="19"/>
      <c r="I183" s="19"/>
      <c r="J183" s="19"/>
      <c r="K183" s="19"/>
      <c r="L183" s="19"/>
      <c r="M183" s="19"/>
      <c r="N183" s="19"/>
      <c r="O183" s="19"/>
    </row>
    <row r="184" spans="2:15" x14ac:dyDescent="0.2">
      <c r="B184" s="19"/>
      <c r="C184" s="19"/>
      <c r="D184" s="19"/>
      <c r="E184" s="19"/>
      <c r="F184" s="19"/>
      <c r="G184" s="19"/>
      <c r="H184" s="19"/>
      <c r="I184" s="19"/>
      <c r="J184" s="19"/>
      <c r="K184" s="19"/>
      <c r="L184" s="19"/>
      <c r="M184" s="19"/>
      <c r="N184" s="19"/>
      <c r="O184" s="19"/>
    </row>
    <row r="185" spans="2:15" x14ac:dyDescent="0.2">
      <c r="B185" s="19"/>
      <c r="C185" s="19"/>
      <c r="D185" s="19"/>
      <c r="E185" s="19"/>
      <c r="F185" s="19"/>
      <c r="G185" s="19"/>
      <c r="H185" s="19"/>
      <c r="I185" s="19"/>
      <c r="J185" s="19"/>
      <c r="K185" s="19"/>
      <c r="L185" s="19"/>
      <c r="M185" s="19"/>
      <c r="N185" s="19"/>
      <c r="O185" s="19"/>
    </row>
    <row r="186" spans="2:15" x14ac:dyDescent="0.2">
      <c r="B186" s="19"/>
      <c r="C186" s="19"/>
      <c r="D186" s="19"/>
      <c r="E186" s="19"/>
      <c r="F186" s="19"/>
      <c r="G186" s="19"/>
      <c r="H186" s="19"/>
      <c r="I186" s="19"/>
      <c r="J186" s="19"/>
      <c r="K186" s="19"/>
      <c r="L186" s="19"/>
      <c r="M186" s="19"/>
      <c r="N186" s="19"/>
      <c r="O186" s="19"/>
    </row>
    <row r="187" spans="2:15" x14ac:dyDescent="0.2">
      <c r="B187" s="19"/>
      <c r="C187" s="19"/>
      <c r="D187" s="19"/>
      <c r="E187" s="19"/>
      <c r="F187" s="19"/>
      <c r="G187" s="19"/>
      <c r="H187" s="19"/>
      <c r="I187" s="19"/>
      <c r="J187" s="19"/>
      <c r="K187" s="19"/>
      <c r="L187" s="19"/>
      <c r="M187" s="19"/>
      <c r="N187" s="19"/>
      <c r="O187" s="19"/>
    </row>
    <row r="188" spans="2:15" x14ac:dyDescent="0.2">
      <c r="B188" s="19"/>
      <c r="C188" s="19"/>
      <c r="D188" s="19"/>
      <c r="E188" s="19"/>
      <c r="F188" s="19"/>
      <c r="G188" s="19"/>
      <c r="H188" s="19"/>
      <c r="I188" s="19"/>
      <c r="J188" s="19"/>
      <c r="K188" s="19"/>
      <c r="L188" s="19"/>
      <c r="M188" s="19"/>
      <c r="N188" s="19"/>
      <c r="O188" s="19"/>
    </row>
    <row r="189" spans="2:15" x14ac:dyDescent="0.2">
      <c r="B189" s="19"/>
      <c r="C189" s="19"/>
      <c r="D189" s="19"/>
      <c r="E189" s="19"/>
      <c r="F189" s="19"/>
      <c r="G189" s="19"/>
      <c r="H189" s="19"/>
      <c r="I189" s="19"/>
      <c r="J189" s="19"/>
      <c r="K189" s="19"/>
      <c r="L189" s="19"/>
      <c r="M189" s="19"/>
      <c r="N189" s="19"/>
      <c r="O189" s="19"/>
    </row>
    <row r="190" spans="2:15" x14ac:dyDescent="0.2">
      <c r="B190" s="19"/>
      <c r="C190" s="19"/>
      <c r="D190" s="19"/>
      <c r="E190" s="19"/>
      <c r="F190" s="19"/>
      <c r="G190" s="19"/>
      <c r="H190" s="19"/>
      <c r="I190" s="19"/>
      <c r="J190" s="19"/>
      <c r="K190" s="19"/>
      <c r="L190" s="19"/>
      <c r="M190" s="19"/>
      <c r="N190" s="19"/>
      <c r="O190" s="19"/>
    </row>
    <row r="191" spans="2:15" x14ac:dyDescent="0.2">
      <c r="B191" s="19"/>
      <c r="C191" s="19"/>
      <c r="D191" s="19"/>
      <c r="E191" s="19"/>
      <c r="F191" s="19"/>
      <c r="G191" s="19"/>
      <c r="H191" s="19"/>
      <c r="I191" s="19"/>
      <c r="J191" s="19"/>
      <c r="K191" s="19"/>
      <c r="L191" s="19"/>
      <c r="M191" s="19"/>
      <c r="N191" s="19"/>
      <c r="O191" s="19"/>
    </row>
    <row r="192" spans="2:15" x14ac:dyDescent="0.2">
      <c r="B192" s="19"/>
      <c r="C192" s="19"/>
      <c r="D192" s="19"/>
      <c r="E192" s="19"/>
      <c r="F192" s="19"/>
      <c r="G192" s="19"/>
      <c r="H192" s="19"/>
      <c r="I192" s="19"/>
      <c r="J192" s="19"/>
      <c r="K192" s="19"/>
      <c r="L192" s="19"/>
      <c r="M192" s="19"/>
      <c r="N192" s="19"/>
      <c r="O192" s="19"/>
    </row>
    <row r="193" spans="2:15" x14ac:dyDescent="0.2">
      <c r="B193" s="19"/>
      <c r="C193" s="19"/>
      <c r="D193" s="19"/>
      <c r="E193" s="19"/>
      <c r="F193" s="19"/>
      <c r="G193" s="19"/>
      <c r="H193" s="19"/>
      <c r="I193" s="19"/>
      <c r="J193" s="19"/>
      <c r="K193" s="19"/>
      <c r="L193" s="19"/>
      <c r="M193" s="19"/>
      <c r="N193" s="19"/>
      <c r="O193" s="19"/>
    </row>
    <row r="194" spans="2:15" x14ac:dyDescent="0.2">
      <c r="B194" s="19"/>
      <c r="C194" s="19"/>
      <c r="D194" s="19"/>
      <c r="E194" s="19"/>
      <c r="F194" s="19"/>
      <c r="G194" s="19"/>
      <c r="H194" s="19"/>
      <c r="I194" s="19"/>
      <c r="J194" s="19"/>
      <c r="K194" s="19"/>
      <c r="L194" s="19"/>
      <c r="M194" s="19"/>
      <c r="N194" s="19"/>
      <c r="O194" s="19"/>
    </row>
    <row r="195" spans="2:15" x14ac:dyDescent="0.2">
      <c r="B195" s="19"/>
      <c r="C195" s="19"/>
      <c r="D195" s="19"/>
      <c r="E195" s="19"/>
      <c r="F195" s="19"/>
      <c r="G195" s="19"/>
      <c r="H195" s="19"/>
      <c r="I195" s="19"/>
      <c r="J195" s="19"/>
      <c r="K195" s="19"/>
      <c r="L195" s="19"/>
      <c r="M195" s="19"/>
      <c r="N195" s="19"/>
      <c r="O195" s="19"/>
    </row>
    <row r="196" spans="2:15" x14ac:dyDescent="0.2">
      <c r="B196" s="19"/>
      <c r="C196" s="19"/>
      <c r="D196" s="19"/>
      <c r="E196" s="19"/>
      <c r="F196" s="19"/>
      <c r="G196" s="19"/>
      <c r="H196" s="19"/>
      <c r="I196" s="19"/>
      <c r="J196" s="19"/>
      <c r="K196" s="19"/>
      <c r="L196" s="19"/>
      <c r="M196" s="19"/>
      <c r="N196" s="19"/>
      <c r="O196" s="19"/>
    </row>
    <row r="197" spans="2:15" x14ac:dyDescent="0.2">
      <c r="B197" s="19"/>
      <c r="C197" s="19"/>
      <c r="D197" s="19"/>
      <c r="E197" s="19"/>
      <c r="F197" s="19"/>
      <c r="G197" s="19"/>
      <c r="H197" s="19"/>
      <c r="I197" s="19"/>
      <c r="J197" s="19"/>
      <c r="K197" s="19"/>
      <c r="L197" s="19"/>
      <c r="M197" s="19"/>
      <c r="N197" s="19"/>
      <c r="O197" s="19"/>
    </row>
    <row r="198" spans="2:15" x14ac:dyDescent="0.2">
      <c r="B198" s="19"/>
      <c r="C198" s="19"/>
      <c r="D198" s="19"/>
      <c r="E198" s="19"/>
      <c r="F198" s="19"/>
      <c r="G198" s="19"/>
      <c r="H198" s="19"/>
      <c r="I198" s="19"/>
      <c r="J198" s="19"/>
      <c r="K198" s="19"/>
      <c r="L198" s="19"/>
      <c r="M198" s="19"/>
      <c r="N198" s="19"/>
      <c r="O198" s="19"/>
    </row>
    <row r="199" spans="2:15" x14ac:dyDescent="0.2">
      <c r="B199" s="19"/>
      <c r="C199" s="19"/>
      <c r="D199" s="19"/>
      <c r="E199" s="19"/>
      <c r="F199" s="19"/>
      <c r="G199" s="19"/>
      <c r="H199" s="19"/>
      <c r="I199" s="19"/>
      <c r="J199" s="19"/>
      <c r="K199" s="19"/>
      <c r="L199" s="19"/>
      <c r="M199" s="19"/>
      <c r="N199" s="19"/>
      <c r="O199" s="19"/>
    </row>
    <row r="200" spans="2:15" x14ac:dyDescent="0.2">
      <c r="B200" s="19"/>
      <c r="C200" s="19"/>
      <c r="D200" s="19"/>
      <c r="E200" s="19"/>
      <c r="F200" s="19"/>
      <c r="G200" s="19"/>
      <c r="H200" s="19"/>
      <c r="I200" s="19"/>
      <c r="J200" s="19"/>
      <c r="K200" s="19"/>
      <c r="L200" s="19"/>
      <c r="M200" s="19"/>
      <c r="N200" s="19"/>
      <c r="O200" s="19"/>
    </row>
    <row r="201" spans="2:15" x14ac:dyDescent="0.2">
      <c r="B201" s="19"/>
      <c r="C201" s="19"/>
      <c r="D201" s="19"/>
      <c r="E201" s="19"/>
      <c r="F201" s="19"/>
      <c r="G201" s="19"/>
      <c r="H201" s="19"/>
      <c r="I201" s="19"/>
      <c r="J201" s="19"/>
      <c r="K201" s="19"/>
      <c r="L201" s="19"/>
      <c r="M201" s="19"/>
      <c r="N201" s="19"/>
      <c r="O201" s="19"/>
    </row>
    <row r="202" spans="2:15" x14ac:dyDescent="0.2">
      <c r="B202" s="19"/>
      <c r="C202" s="19"/>
      <c r="D202" s="19"/>
      <c r="E202" s="19"/>
      <c r="F202" s="19"/>
      <c r="G202" s="19"/>
      <c r="H202" s="19"/>
      <c r="I202" s="19"/>
      <c r="J202" s="19"/>
      <c r="K202" s="19"/>
      <c r="L202" s="19"/>
      <c r="M202" s="19"/>
      <c r="N202" s="19"/>
      <c r="O202" s="19"/>
    </row>
    <row r="203" spans="2:15" x14ac:dyDescent="0.2">
      <c r="B203" s="19"/>
      <c r="C203" s="19"/>
      <c r="D203" s="19"/>
      <c r="E203" s="19"/>
      <c r="F203" s="19"/>
      <c r="G203" s="19"/>
      <c r="H203" s="19"/>
      <c r="I203" s="19"/>
      <c r="J203" s="19"/>
      <c r="K203" s="19"/>
      <c r="L203" s="19"/>
      <c r="M203" s="19"/>
      <c r="N203" s="19"/>
      <c r="O203" s="19"/>
    </row>
    <row r="204" spans="2:15" x14ac:dyDescent="0.2">
      <c r="B204" s="19"/>
      <c r="C204" s="19"/>
      <c r="D204" s="19"/>
      <c r="E204" s="19"/>
      <c r="F204" s="19"/>
      <c r="G204" s="19"/>
      <c r="H204" s="19"/>
      <c r="I204" s="19"/>
      <c r="J204" s="19"/>
      <c r="K204" s="19"/>
      <c r="L204" s="19"/>
      <c r="M204" s="19"/>
      <c r="N204" s="19"/>
      <c r="O204" s="19"/>
    </row>
    <row r="205" spans="2:15" x14ac:dyDescent="0.2">
      <c r="B205" s="19"/>
      <c r="C205" s="19"/>
      <c r="D205" s="19"/>
      <c r="E205" s="19"/>
      <c r="F205" s="19"/>
      <c r="G205" s="19"/>
      <c r="H205" s="19"/>
      <c r="I205" s="19"/>
      <c r="J205" s="19"/>
      <c r="K205" s="19"/>
      <c r="L205" s="19"/>
      <c r="M205" s="19"/>
      <c r="N205" s="19"/>
      <c r="O205" s="19"/>
    </row>
    <row r="206" spans="2:15" x14ac:dyDescent="0.2">
      <c r="B206" s="19"/>
      <c r="C206" s="19"/>
      <c r="D206" s="19"/>
      <c r="E206" s="19"/>
      <c r="F206" s="19"/>
      <c r="G206" s="19"/>
      <c r="H206" s="19"/>
      <c r="I206" s="19"/>
      <c r="J206" s="19"/>
      <c r="K206" s="19"/>
      <c r="L206" s="19"/>
      <c r="M206" s="19"/>
      <c r="N206" s="19"/>
      <c r="O206" s="19"/>
    </row>
    <row r="207" spans="2:15" x14ac:dyDescent="0.2">
      <c r="B207" s="19"/>
      <c r="C207" s="19"/>
      <c r="D207" s="19"/>
      <c r="E207" s="19"/>
      <c r="F207" s="19"/>
      <c r="G207" s="19"/>
      <c r="H207" s="19"/>
      <c r="I207" s="19"/>
      <c r="J207" s="19"/>
      <c r="K207" s="19"/>
      <c r="L207" s="19"/>
      <c r="M207" s="19"/>
      <c r="N207" s="19"/>
      <c r="O207" s="19"/>
    </row>
    <row r="208" spans="2:15" x14ac:dyDescent="0.2">
      <c r="B208" s="19"/>
      <c r="C208" s="19"/>
      <c r="D208" s="19"/>
      <c r="E208" s="19"/>
      <c r="F208" s="19"/>
      <c r="G208" s="19"/>
      <c r="H208" s="19"/>
      <c r="I208" s="19"/>
      <c r="J208" s="19"/>
      <c r="K208" s="19"/>
      <c r="L208" s="19"/>
      <c r="M208" s="19"/>
      <c r="N208" s="19"/>
      <c r="O208" s="19"/>
    </row>
    <row r="209" spans="2:15" x14ac:dyDescent="0.2">
      <c r="B209" s="19"/>
      <c r="C209" s="19"/>
      <c r="D209" s="19"/>
      <c r="E209" s="19"/>
      <c r="F209" s="19"/>
      <c r="G209" s="19"/>
      <c r="H209" s="19"/>
      <c r="I209" s="19"/>
      <c r="J209" s="19"/>
      <c r="K209" s="19"/>
      <c r="L209" s="19"/>
      <c r="M209" s="19"/>
      <c r="N209" s="19"/>
      <c r="O209" s="19"/>
    </row>
    <row r="210" spans="2:15" x14ac:dyDescent="0.2">
      <c r="B210" s="19"/>
      <c r="C210" s="19"/>
      <c r="D210" s="19"/>
      <c r="E210" s="19"/>
      <c r="F210" s="19"/>
      <c r="G210" s="19"/>
      <c r="H210" s="19"/>
      <c r="I210" s="19"/>
      <c r="J210" s="19"/>
      <c r="K210" s="19"/>
      <c r="L210" s="19"/>
      <c r="M210" s="19"/>
      <c r="N210" s="19"/>
      <c r="O210" s="19"/>
    </row>
    <row r="211" spans="2:15" x14ac:dyDescent="0.2">
      <c r="B211" s="19"/>
      <c r="C211" s="19"/>
      <c r="D211" s="19"/>
      <c r="E211" s="19"/>
      <c r="F211" s="19"/>
      <c r="G211" s="19"/>
      <c r="H211" s="19"/>
      <c r="I211" s="19"/>
      <c r="J211" s="19"/>
      <c r="K211" s="19"/>
      <c r="L211" s="19"/>
      <c r="M211" s="19"/>
      <c r="N211" s="19"/>
      <c r="O211" s="19"/>
    </row>
    <row r="212" spans="2:15" x14ac:dyDescent="0.2">
      <c r="B212" s="19"/>
      <c r="C212" s="19"/>
      <c r="D212" s="19"/>
      <c r="E212" s="19"/>
      <c r="F212" s="19"/>
      <c r="G212" s="19"/>
      <c r="H212" s="19"/>
      <c r="I212" s="19"/>
      <c r="J212" s="19"/>
      <c r="K212" s="19"/>
      <c r="L212" s="19"/>
      <c r="M212" s="19"/>
      <c r="N212" s="19"/>
      <c r="O212" s="19"/>
    </row>
    <row r="213" spans="2:15" x14ac:dyDescent="0.2">
      <c r="B213" s="19"/>
      <c r="C213" s="19"/>
      <c r="D213" s="19"/>
      <c r="E213" s="19"/>
      <c r="F213" s="19"/>
      <c r="G213" s="19"/>
      <c r="H213" s="19"/>
      <c r="I213" s="19"/>
      <c r="J213" s="19"/>
      <c r="K213" s="19"/>
      <c r="L213" s="19"/>
      <c r="M213" s="19"/>
      <c r="N213" s="19"/>
      <c r="O213" s="19"/>
    </row>
    <row r="214" spans="2:15" x14ac:dyDescent="0.2">
      <c r="B214" s="19"/>
      <c r="C214" s="19"/>
      <c r="D214" s="19"/>
      <c r="E214" s="19"/>
      <c r="F214" s="19"/>
      <c r="G214" s="19"/>
      <c r="H214" s="19"/>
      <c r="I214" s="19"/>
      <c r="J214" s="19"/>
      <c r="K214" s="19"/>
      <c r="L214" s="19"/>
      <c r="M214" s="19"/>
      <c r="N214" s="19"/>
      <c r="O214" s="19"/>
    </row>
    <row r="215" spans="2:15" x14ac:dyDescent="0.2">
      <c r="B215" s="19"/>
      <c r="C215" s="19"/>
      <c r="D215" s="19"/>
      <c r="E215" s="19"/>
      <c r="F215" s="19"/>
      <c r="G215" s="19"/>
      <c r="H215" s="19"/>
      <c r="I215" s="19"/>
      <c r="J215" s="19"/>
      <c r="K215" s="19"/>
      <c r="L215" s="19"/>
      <c r="M215" s="19"/>
      <c r="N215" s="19"/>
      <c r="O215" s="19"/>
    </row>
    <row r="216" spans="2:15" x14ac:dyDescent="0.2">
      <c r="B216" s="19"/>
      <c r="C216" s="19"/>
      <c r="D216" s="19"/>
      <c r="E216" s="19"/>
      <c r="F216" s="19"/>
      <c r="G216" s="19"/>
      <c r="H216" s="19"/>
      <c r="I216" s="19"/>
      <c r="J216" s="19"/>
      <c r="K216" s="19"/>
      <c r="L216" s="19"/>
      <c r="M216" s="19"/>
      <c r="N216" s="19"/>
      <c r="O216" s="19"/>
    </row>
    <row r="217" spans="2:15" x14ac:dyDescent="0.2">
      <c r="B217" s="19"/>
      <c r="C217" s="19"/>
      <c r="D217" s="19"/>
      <c r="E217" s="19"/>
      <c r="F217" s="19"/>
      <c r="G217" s="19"/>
      <c r="H217" s="19"/>
      <c r="I217" s="19"/>
      <c r="J217" s="19"/>
      <c r="K217" s="19"/>
      <c r="L217" s="19"/>
      <c r="M217" s="19"/>
      <c r="N217" s="19"/>
      <c r="O217" s="19"/>
    </row>
    <row r="218" spans="2:15" x14ac:dyDescent="0.2">
      <c r="B218" s="19"/>
      <c r="C218" s="19"/>
      <c r="D218" s="19"/>
      <c r="E218" s="19"/>
      <c r="F218" s="19"/>
      <c r="G218" s="19"/>
      <c r="H218" s="19"/>
      <c r="I218" s="19"/>
      <c r="J218" s="19"/>
      <c r="K218" s="19"/>
      <c r="L218" s="19"/>
      <c r="M218" s="19"/>
      <c r="N218" s="19"/>
      <c r="O218" s="19"/>
    </row>
    <row r="219" spans="2:15" x14ac:dyDescent="0.2">
      <c r="B219" s="19"/>
      <c r="C219" s="19"/>
      <c r="D219" s="19"/>
      <c r="E219" s="19"/>
      <c r="F219" s="19"/>
      <c r="G219" s="19"/>
      <c r="H219" s="19"/>
      <c r="I219" s="19"/>
      <c r="J219" s="19"/>
      <c r="K219" s="19"/>
      <c r="L219" s="19"/>
      <c r="M219" s="19"/>
      <c r="N219" s="19"/>
      <c r="O219" s="19"/>
    </row>
    <row r="220" spans="2:15" x14ac:dyDescent="0.2">
      <c r="B220" s="19"/>
      <c r="C220" s="19"/>
      <c r="D220" s="19"/>
      <c r="E220" s="19"/>
      <c r="F220" s="19"/>
      <c r="G220" s="19"/>
      <c r="H220" s="19"/>
      <c r="I220" s="19"/>
      <c r="J220" s="19"/>
      <c r="K220" s="19"/>
      <c r="L220" s="19"/>
      <c r="M220" s="19"/>
      <c r="N220" s="19"/>
      <c r="O220" s="19"/>
    </row>
    <row r="221" spans="2:15" x14ac:dyDescent="0.2">
      <c r="B221" s="19"/>
      <c r="C221" s="19"/>
      <c r="D221" s="19"/>
      <c r="E221" s="19"/>
      <c r="F221" s="19"/>
      <c r="G221" s="19"/>
      <c r="H221" s="19"/>
      <c r="I221" s="19"/>
      <c r="J221" s="19"/>
      <c r="K221" s="19"/>
      <c r="L221" s="19"/>
      <c r="M221" s="19"/>
      <c r="N221" s="19"/>
      <c r="O221" s="19"/>
    </row>
    <row r="222" spans="2:15" x14ac:dyDescent="0.2">
      <c r="B222" s="19"/>
      <c r="C222" s="19"/>
      <c r="D222" s="19"/>
      <c r="E222" s="19"/>
      <c r="F222" s="19"/>
      <c r="G222" s="19"/>
      <c r="H222" s="19"/>
      <c r="I222" s="19"/>
      <c r="J222" s="19"/>
      <c r="K222" s="19"/>
      <c r="L222" s="19"/>
      <c r="M222" s="19"/>
      <c r="N222" s="19"/>
      <c r="O222" s="19"/>
    </row>
    <row r="223" spans="2:15" x14ac:dyDescent="0.2">
      <c r="B223" s="19"/>
      <c r="C223" s="19"/>
      <c r="D223" s="19"/>
      <c r="E223" s="19"/>
      <c r="F223" s="19"/>
      <c r="G223" s="19"/>
      <c r="H223" s="19"/>
      <c r="I223" s="19"/>
      <c r="J223" s="19"/>
      <c r="K223" s="19"/>
      <c r="L223" s="19"/>
      <c r="M223" s="19"/>
      <c r="N223" s="19"/>
      <c r="O223" s="19"/>
    </row>
    <row r="224" spans="2:15" x14ac:dyDescent="0.2">
      <c r="B224" s="19"/>
      <c r="C224" s="19"/>
      <c r="D224" s="19"/>
      <c r="E224" s="19"/>
      <c r="F224" s="19"/>
      <c r="G224" s="19"/>
      <c r="H224" s="19"/>
      <c r="I224" s="19"/>
      <c r="J224" s="19"/>
      <c r="K224" s="19"/>
      <c r="L224" s="19"/>
      <c r="M224" s="19"/>
      <c r="N224" s="19"/>
      <c r="O224" s="19"/>
    </row>
    <row r="225" spans="2:15" x14ac:dyDescent="0.2">
      <c r="B225" s="19"/>
      <c r="C225" s="19"/>
      <c r="D225" s="19"/>
      <c r="E225" s="19"/>
      <c r="F225" s="19"/>
      <c r="G225" s="19"/>
      <c r="H225" s="19"/>
      <c r="I225" s="19"/>
      <c r="J225" s="19"/>
      <c r="K225" s="19"/>
      <c r="L225" s="19"/>
      <c r="M225" s="19"/>
      <c r="N225" s="19"/>
      <c r="O225" s="19"/>
    </row>
    <row r="226" spans="2:15" x14ac:dyDescent="0.2">
      <c r="B226" s="19"/>
      <c r="C226" s="19"/>
      <c r="D226" s="19"/>
      <c r="E226" s="19"/>
      <c r="F226" s="19"/>
      <c r="G226" s="19"/>
      <c r="H226" s="19"/>
      <c r="I226" s="19"/>
      <c r="J226" s="19"/>
      <c r="K226" s="19"/>
      <c r="L226" s="19"/>
      <c r="M226" s="19"/>
      <c r="N226" s="19"/>
      <c r="O226" s="19"/>
    </row>
    <row r="227" spans="2:15" x14ac:dyDescent="0.2">
      <c r="B227" s="19"/>
      <c r="C227" s="19"/>
      <c r="D227" s="19"/>
      <c r="E227" s="19"/>
      <c r="F227" s="19"/>
      <c r="G227" s="19"/>
      <c r="H227" s="19"/>
      <c r="I227" s="19"/>
      <c r="J227" s="19"/>
      <c r="K227" s="19"/>
      <c r="L227" s="19"/>
      <c r="M227" s="19"/>
      <c r="N227" s="19"/>
      <c r="O227" s="19"/>
    </row>
    <row r="228" spans="2:15" x14ac:dyDescent="0.2">
      <c r="B228" s="19"/>
      <c r="C228" s="19"/>
      <c r="D228" s="19"/>
      <c r="E228" s="19"/>
      <c r="F228" s="19"/>
      <c r="G228" s="19"/>
      <c r="H228" s="19"/>
      <c r="I228" s="19"/>
      <c r="J228" s="19"/>
      <c r="K228" s="19"/>
      <c r="L228" s="19"/>
      <c r="M228" s="19"/>
      <c r="N228" s="19"/>
      <c r="O228" s="19"/>
    </row>
    <row r="229" spans="2:15" x14ac:dyDescent="0.2">
      <c r="B229" s="19"/>
      <c r="C229" s="19"/>
      <c r="D229" s="19"/>
      <c r="E229" s="19"/>
      <c r="F229" s="19"/>
      <c r="G229" s="19"/>
      <c r="H229" s="19"/>
      <c r="I229" s="19"/>
      <c r="J229" s="19"/>
      <c r="K229" s="19"/>
      <c r="L229" s="19"/>
      <c r="M229" s="19"/>
      <c r="N229" s="19"/>
      <c r="O229" s="19"/>
    </row>
    <row r="230" spans="2:15" x14ac:dyDescent="0.2">
      <c r="B230" s="19"/>
      <c r="C230" s="19"/>
      <c r="D230" s="19"/>
      <c r="E230" s="19"/>
      <c r="F230" s="19"/>
      <c r="G230" s="19"/>
      <c r="H230" s="19"/>
      <c r="I230" s="19"/>
      <c r="J230" s="19"/>
      <c r="K230" s="19"/>
      <c r="L230" s="19"/>
      <c r="M230" s="19"/>
      <c r="N230" s="19"/>
      <c r="O230" s="19"/>
    </row>
    <row r="231" spans="2:15" x14ac:dyDescent="0.2">
      <c r="B231" s="19"/>
      <c r="C231" s="19"/>
      <c r="D231" s="19"/>
      <c r="E231" s="19"/>
      <c r="F231" s="19"/>
      <c r="G231" s="19"/>
      <c r="H231" s="19"/>
      <c r="I231" s="19"/>
      <c r="J231" s="19"/>
      <c r="K231" s="19"/>
      <c r="L231" s="19"/>
      <c r="M231" s="19"/>
      <c r="N231" s="19"/>
      <c r="O231" s="19"/>
    </row>
    <row r="232" spans="2:15" x14ac:dyDescent="0.2">
      <c r="B232" s="19"/>
      <c r="C232" s="19"/>
      <c r="D232" s="19"/>
      <c r="E232" s="19"/>
      <c r="F232" s="19"/>
      <c r="G232" s="19"/>
      <c r="H232" s="19"/>
      <c r="I232" s="19"/>
      <c r="J232" s="19"/>
      <c r="K232" s="19"/>
      <c r="L232" s="19"/>
      <c r="M232" s="19"/>
      <c r="N232" s="19"/>
      <c r="O232" s="19"/>
    </row>
    <row r="233" spans="2:15" x14ac:dyDescent="0.2">
      <c r="B233" s="19"/>
      <c r="C233" s="19"/>
      <c r="D233" s="19"/>
      <c r="E233" s="19"/>
      <c r="F233" s="19"/>
      <c r="G233" s="19"/>
      <c r="H233" s="19"/>
      <c r="I233" s="19"/>
      <c r="J233" s="19"/>
      <c r="K233" s="19"/>
      <c r="L233" s="19"/>
      <c r="M233" s="19"/>
      <c r="N233" s="19"/>
      <c r="O233" s="19"/>
    </row>
    <row r="234" spans="2:15" x14ac:dyDescent="0.2">
      <c r="B234" s="19"/>
      <c r="C234" s="19"/>
      <c r="D234" s="19"/>
      <c r="E234" s="19"/>
      <c r="F234" s="19"/>
      <c r="G234" s="19"/>
      <c r="H234" s="19"/>
      <c r="I234" s="19"/>
      <c r="J234" s="19"/>
      <c r="K234" s="19"/>
      <c r="L234" s="19"/>
      <c r="M234" s="19"/>
      <c r="N234" s="19"/>
      <c r="O234" s="19"/>
    </row>
    <row r="235" spans="2:15" x14ac:dyDescent="0.2">
      <c r="B235" s="19"/>
      <c r="C235" s="19"/>
      <c r="D235" s="19"/>
      <c r="E235" s="19"/>
      <c r="F235" s="19"/>
      <c r="G235" s="19"/>
      <c r="H235" s="19"/>
      <c r="I235" s="19"/>
      <c r="J235" s="19"/>
      <c r="K235" s="19"/>
      <c r="L235" s="19"/>
      <c r="M235" s="19"/>
      <c r="N235" s="19"/>
      <c r="O235" s="19"/>
    </row>
    <row r="236" spans="2:15" x14ac:dyDescent="0.2">
      <c r="B236" s="19"/>
      <c r="C236" s="19"/>
      <c r="D236" s="19"/>
      <c r="E236" s="19"/>
      <c r="F236" s="19"/>
      <c r="G236" s="19"/>
      <c r="H236" s="19"/>
      <c r="I236" s="19"/>
      <c r="J236" s="19"/>
      <c r="K236" s="19"/>
      <c r="L236" s="19"/>
      <c r="M236" s="19"/>
      <c r="N236" s="19"/>
      <c r="O236" s="19"/>
    </row>
    <row r="237" spans="2:15" x14ac:dyDescent="0.2">
      <c r="B237" s="19"/>
      <c r="C237" s="19"/>
      <c r="D237" s="19"/>
      <c r="E237" s="19"/>
      <c r="F237" s="19"/>
      <c r="G237" s="19"/>
      <c r="H237" s="19"/>
      <c r="I237" s="19"/>
      <c r="J237" s="19"/>
      <c r="K237" s="19"/>
      <c r="L237" s="19"/>
      <c r="M237" s="19"/>
      <c r="N237" s="19"/>
      <c r="O237" s="19"/>
    </row>
    <row r="238" spans="2:15" x14ac:dyDescent="0.2">
      <c r="B238" s="19"/>
      <c r="C238" s="19"/>
      <c r="D238" s="19"/>
      <c r="E238" s="19"/>
      <c r="F238" s="19"/>
      <c r="G238" s="19"/>
      <c r="H238" s="19"/>
      <c r="I238" s="19"/>
      <c r="J238" s="19"/>
      <c r="K238" s="19"/>
      <c r="L238" s="19"/>
      <c r="M238" s="19"/>
      <c r="N238" s="19"/>
      <c r="O238" s="19"/>
    </row>
    <row r="239" spans="2:15" x14ac:dyDescent="0.2">
      <c r="B239" s="19"/>
      <c r="C239" s="19"/>
      <c r="D239" s="19"/>
      <c r="E239" s="19"/>
      <c r="F239" s="19"/>
      <c r="G239" s="19"/>
      <c r="H239" s="19"/>
      <c r="I239" s="19"/>
      <c r="J239" s="19"/>
      <c r="K239" s="19"/>
      <c r="L239" s="19"/>
      <c r="M239" s="19"/>
      <c r="N239" s="19"/>
      <c r="O239" s="19"/>
    </row>
    <row r="240" spans="2:15" x14ac:dyDescent="0.2">
      <c r="B240" s="19"/>
      <c r="C240" s="19"/>
      <c r="D240" s="19"/>
      <c r="E240" s="19"/>
      <c r="F240" s="19"/>
      <c r="G240" s="19"/>
      <c r="H240" s="19"/>
      <c r="I240" s="19"/>
      <c r="J240" s="19"/>
      <c r="K240" s="19"/>
      <c r="L240" s="19"/>
      <c r="M240" s="19"/>
      <c r="N240" s="19"/>
      <c r="O240" s="19"/>
    </row>
    <row r="241" spans="2:15" x14ac:dyDescent="0.2">
      <c r="B241" s="19"/>
      <c r="C241" s="19"/>
      <c r="D241" s="19"/>
      <c r="E241" s="19"/>
      <c r="F241" s="19"/>
      <c r="G241" s="19"/>
      <c r="H241" s="19"/>
      <c r="I241" s="19"/>
      <c r="J241" s="19"/>
      <c r="K241" s="19"/>
      <c r="L241" s="19"/>
      <c r="M241" s="19"/>
      <c r="N241" s="19"/>
      <c r="O241" s="19"/>
    </row>
    <row r="242" spans="2:15" x14ac:dyDescent="0.2">
      <c r="B242" s="19"/>
      <c r="C242" s="19"/>
      <c r="D242" s="19"/>
      <c r="E242" s="19"/>
      <c r="F242" s="19"/>
      <c r="G242" s="19"/>
      <c r="H242" s="19"/>
      <c r="I242" s="19"/>
      <c r="J242" s="19"/>
      <c r="K242" s="19"/>
      <c r="L242" s="19"/>
      <c r="M242" s="19"/>
      <c r="N242" s="19"/>
      <c r="O242" s="19"/>
    </row>
    <row r="243" spans="2:15" x14ac:dyDescent="0.2">
      <c r="B243" s="19"/>
      <c r="C243" s="19"/>
      <c r="D243" s="19"/>
      <c r="E243" s="19"/>
      <c r="F243" s="19"/>
      <c r="G243" s="19"/>
      <c r="H243" s="19"/>
      <c r="I243" s="19"/>
      <c r="J243" s="19"/>
      <c r="K243" s="19"/>
      <c r="L243" s="19"/>
      <c r="M243" s="19"/>
      <c r="N243" s="19"/>
      <c r="O243" s="19"/>
    </row>
    <row r="244" spans="2:15" x14ac:dyDescent="0.2">
      <c r="B244" s="19"/>
      <c r="C244" s="19"/>
      <c r="D244" s="19"/>
      <c r="E244" s="19"/>
      <c r="F244" s="19"/>
      <c r="G244" s="19"/>
      <c r="H244" s="19"/>
      <c r="I244" s="19"/>
      <c r="J244" s="19"/>
      <c r="K244" s="19"/>
      <c r="L244" s="19"/>
      <c r="M244" s="19"/>
      <c r="N244" s="19"/>
      <c r="O244" s="19"/>
    </row>
    <row r="245" spans="2:15" x14ac:dyDescent="0.2">
      <c r="B245" s="19"/>
      <c r="C245" s="19"/>
      <c r="D245" s="19"/>
      <c r="E245" s="19"/>
      <c r="F245" s="19"/>
      <c r="G245" s="19"/>
      <c r="H245" s="19"/>
      <c r="I245" s="19"/>
      <c r="J245" s="19"/>
      <c r="K245" s="19"/>
      <c r="L245" s="19"/>
      <c r="M245" s="19"/>
      <c r="N245" s="19"/>
      <c r="O245" s="19"/>
    </row>
    <row r="246" spans="2:15" x14ac:dyDescent="0.2">
      <c r="B246" s="19"/>
      <c r="C246" s="19"/>
      <c r="D246" s="19"/>
      <c r="E246" s="19"/>
      <c r="F246" s="19"/>
      <c r="G246" s="19"/>
      <c r="H246" s="19"/>
      <c r="I246" s="19"/>
      <c r="J246" s="19"/>
      <c r="K246" s="19"/>
      <c r="L246" s="19"/>
      <c r="M246" s="19"/>
      <c r="N246" s="19"/>
      <c r="O246" s="19"/>
    </row>
    <row r="247" spans="2:15" x14ac:dyDescent="0.2">
      <c r="B247" s="19"/>
      <c r="C247" s="19"/>
      <c r="D247" s="19"/>
      <c r="E247" s="19"/>
      <c r="F247" s="19"/>
      <c r="G247" s="19"/>
      <c r="H247" s="19"/>
      <c r="I247" s="19"/>
      <c r="J247" s="19"/>
      <c r="K247" s="19"/>
      <c r="L247" s="19"/>
      <c r="M247" s="19"/>
      <c r="N247" s="19"/>
      <c r="O247" s="19"/>
    </row>
    <row r="248" spans="2:15" x14ac:dyDescent="0.2">
      <c r="B248" s="19"/>
      <c r="C248" s="19"/>
      <c r="D248" s="19"/>
      <c r="E248" s="19"/>
      <c r="F248" s="19"/>
      <c r="G248" s="19"/>
      <c r="H248" s="19"/>
      <c r="I248" s="19"/>
      <c r="J248" s="19"/>
      <c r="K248" s="19"/>
      <c r="L248" s="19"/>
      <c r="M248" s="19"/>
      <c r="N248" s="19"/>
      <c r="O248" s="19"/>
    </row>
    <row r="249" spans="2:15" x14ac:dyDescent="0.2">
      <c r="B249" s="19"/>
      <c r="C249" s="19"/>
      <c r="D249" s="19"/>
      <c r="E249" s="19"/>
      <c r="F249" s="19"/>
      <c r="G249" s="19"/>
      <c r="H249" s="19"/>
      <c r="I249" s="19"/>
      <c r="J249" s="19"/>
      <c r="K249" s="19"/>
      <c r="L249" s="19"/>
      <c r="M249" s="19"/>
      <c r="N249" s="19"/>
      <c r="O249" s="19"/>
    </row>
    <row r="250" spans="2:15" x14ac:dyDescent="0.2">
      <c r="B250" s="19"/>
      <c r="C250" s="19"/>
      <c r="D250" s="19"/>
      <c r="E250" s="19"/>
      <c r="F250" s="19"/>
      <c r="G250" s="19"/>
      <c r="H250" s="19"/>
      <c r="I250" s="19"/>
      <c r="J250" s="19"/>
      <c r="K250" s="19"/>
      <c r="L250" s="19"/>
      <c r="M250" s="19"/>
      <c r="N250" s="19"/>
      <c r="O250" s="19"/>
    </row>
    <row r="251" spans="2:15" x14ac:dyDescent="0.2">
      <c r="B251" s="19"/>
      <c r="C251" s="19"/>
      <c r="D251" s="19"/>
      <c r="E251" s="19"/>
      <c r="F251" s="19"/>
      <c r="G251" s="19"/>
      <c r="H251" s="19"/>
      <c r="I251" s="19"/>
      <c r="J251" s="19"/>
      <c r="K251" s="19"/>
      <c r="L251" s="19"/>
      <c r="M251" s="19"/>
      <c r="N251" s="19"/>
      <c r="O251" s="19"/>
    </row>
    <row r="252" spans="2:15" x14ac:dyDescent="0.2">
      <c r="B252" s="19"/>
      <c r="C252" s="19"/>
      <c r="D252" s="19"/>
      <c r="E252" s="19"/>
      <c r="F252" s="19"/>
      <c r="G252" s="19"/>
      <c r="H252" s="19"/>
      <c r="I252" s="19"/>
      <c r="J252" s="19"/>
      <c r="K252" s="19"/>
      <c r="L252" s="19"/>
      <c r="M252" s="19"/>
      <c r="N252" s="19"/>
      <c r="O252" s="19"/>
    </row>
    <row r="253" spans="2:15" x14ac:dyDescent="0.2">
      <c r="B253" s="19"/>
      <c r="C253" s="19"/>
      <c r="D253" s="19"/>
      <c r="E253" s="19"/>
      <c r="F253" s="19"/>
      <c r="G253" s="19"/>
      <c r="H253" s="19"/>
      <c r="I253" s="19"/>
      <c r="J253" s="19"/>
      <c r="K253" s="19"/>
      <c r="L253" s="19"/>
      <c r="M253" s="19"/>
      <c r="N253" s="19"/>
      <c r="O253" s="19"/>
    </row>
    <row r="254" spans="2:15" x14ac:dyDescent="0.2">
      <c r="B254" s="19"/>
      <c r="C254" s="19"/>
      <c r="D254" s="19"/>
      <c r="E254" s="19"/>
      <c r="F254" s="19"/>
      <c r="G254" s="19"/>
      <c r="H254" s="19"/>
      <c r="I254" s="19"/>
      <c r="J254" s="19"/>
      <c r="K254" s="19"/>
      <c r="L254" s="19"/>
      <c r="M254" s="19"/>
      <c r="N254" s="19"/>
      <c r="O254" s="19"/>
    </row>
    <row r="255" spans="2:15" x14ac:dyDescent="0.2">
      <c r="B255" s="19"/>
      <c r="C255" s="19"/>
      <c r="D255" s="19"/>
      <c r="E255" s="19"/>
      <c r="F255" s="19"/>
      <c r="G255" s="19"/>
      <c r="H255" s="19"/>
      <c r="I255" s="19"/>
      <c r="J255" s="19"/>
      <c r="K255" s="19"/>
      <c r="L255" s="19"/>
      <c r="M255" s="19"/>
      <c r="N255" s="19"/>
      <c r="O255" s="19"/>
    </row>
    <row r="256" spans="2:15" x14ac:dyDescent="0.2">
      <c r="B256" s="19"/>
      <c r="C256" s="19"/>
      <c r="D256" s="19"/>
      <c r="E256" s="19"/>
      <c r="F256" s="19"/>
      <c r="G256" s="19"/>
      <c r="H256" s="19"/>
      <c r="I256" s="19"/>
      <c r="J256" s="19"/>
      <c r="K256" s="19"/>
      <c r="L256" s="19"/>
      <c r="M256" s="19"/>
      <c r="N256" s="19"/>
      <c r="O256" s="19"/>
    </row>
    <row r="257" spans="2:15" x14ac:dyDescent="0.2">
      <c r="B257" s="19"/>
      <c r="C257" s="19"/>
      <c r="D257" s="19"/>
      <c r="E257" s="19"/>
      <c r="F257" s="19"/>
      <c r="G257" s="19"/>
      <c r="H257" s="19"/>
      <c r="I257" s="19"/>
      <c r="J257" s="19"/>
      <c r="K257" s="19"/>
      <c r="L257" s="19"/>
      <c r="M257" s="19"/>
      <c r="N257" s="19"/>
      <c r="O257" s="19"/>
    </row>
    <row r="258" spans="2:15" x14ac:dyDescent="0.2">
      <c r="B258" s="19"/>
      <c r="C258" s="19"/>
      <c r="D258" s="19"/>
      <c r="E258" s="19"/>
      <c r="F258" s="19"/>
      <c r="G258" s="19"/>
      <c r="H258" s="19"/>
      <c r="I258" s="19"/>
      <c r="J258" s="19"/>
      <c r="K258" s="19"/>
      <c r="L258" s="19"/>
      <c r="M258" s="19"/>
      <c r="N258" s="19"/>
      <c r="O258" s="19"/>
    </row>
    <row r="259" spans="2:15" x14ac:dyDescent="0.2">
      <c r="B259" s="19"/>
      <c r="C259" s="19"/>
      <c r="D259" s="19"/>
      <c r="E259" s="19"/>
      <c r="F259" s="19"/>
      <c r="G259" s="19"/>
      <c r="H259" s="19"/>
      <c r="I259" s="19"/>
      <c r="J259" s="19"/>
      <c r="K259" s="19"/>
      <c r="L259" s="19"/>
      <c r="M259" s="19"/>
      <c r="N259" s="19"/>
      <c r="O259" s="19"/>
    </row>
    <row r="260" spans="2:15" x14ac:dyDescent="0.2">
      <c r="B260" s="19"/>
      <c r="C260" s="19"/>
      <c r="D260" s="19"/>
      <c r="E260" s="19"/>
      <c r="F260" s="19"/>
      <c r="G260" s="19"/>
      <c r="H260" s="19"/>
      <c r="I260" s="19"/>
      <c r="J260" s="19"/>
      <c r="K260" s="19"/>
      <c r="L260" s="19"/>
      <c r="M260" s="19"/>
      <c r="N260" s="19"/>
      <c r="O260" s="19"/>
    </row>
    <row r="261" spans="2:15" x14ac:dyDescent="0.2">
      <c r="B261" s="19"/>
      <c r="C261" s="19"/>
      <c r="D261" s="19"/>
      <c r="E261" s="19"/>
      <c r="F261" s="19"/>
      <c r="G261" s="19"/>
      <c r="H261" s="19"/>
      <c r="I261" s="19"/>
      <c r="J261" s="19"/>
      <c r="K261" s="19"/>
      <c r="L261" s="19"/>
      <c r="M261" s="19"/>
      <c r="N261" s="19"/>
      <c r="O261" s="19"/>
    </row>
    <row r="262" spans="2:15" x14ac:dyDescent="0.2">
      <c r="B262" s="19"/>
      <c r="C262" s="19"/>
      <c r="D262" s="19"/>
      <c r="E262" s="19"/>
      <c r="F262" s="19"/>
      <c r="G262" s="19"/>
      <c r="H262" s="19"/>
      <c r="I262" s="19"/>
      <c r="J262" s="19"/>
      <c r="K262" s="19"/>
      <c r="L262" s="19"/>
      <c r="M262" s="19"/>
      <c r="N262" s="19"/>
      <c r="O262" s="19"/>
    </row>
    <row r="263" spans="2:15" x14ac:dyDescent="0.2">
      <c r="B263" s="19"/>
      <c r="C263" s="19"/>
      <c r="D263" s="19"/>
      <c r="E263" s="19"/>
      <c r="F263" s="19"/>
      <c r="G263" s="19"/>
      <c r="H263" s="19"/>
      <c r="I263" s="19"/>
      <c r="J263" s="19"/>
      <c r="K263" s="19"/>
      <c r="L263" s="19"/>
      <c r="M263" s="19"/>
      <c r="N263" s="19"/>
      <c r="O263" s="19"/>
    </row>
    <row r="264" spans="2:15" x14ac:dyDescent="0.2">
      <c r="B264" s="19"/>
      <c r="C264" s="19"/>
      <c r="D264" s="19"/>
      <c r="E264" s="19"/>
      <c r="F264" s="19"/>
      <c r="G264" s="19"/>
      <c r="H264" s="19"/>
      <c r="I264" s="19"/>
      <c r="J264" s="19"/>
      <c r="K264" s="19"/>
      <c r="L264" s="19"/>
      <c r="M264" s="19"/>
      <c r="N264" s="19"/>
      <c r="O264" s="19"/>
    </row>
    <row r="265" spans="2:15" x14ac:dyDescent="0.2">
      <c r="B265" s="19"/>
      <c r="C265" s="19"/>
      <c r="D265" s="19"/>
      <c r="E265" s="19"/>
      <c r="F265" s="19"/>
      <c r="G265" s="19"/>
      <c r="H265" s="19"/>
      <c r="I265" s="19"/>
      <c r="J265" s="19"/>
      <c r="K265" s="19"/>
      <c r="L265" s="19"/>
      <c r="M265" s="19"/>
      <c r="N265" s="19"/>
      <c r="O265" s="19"/>
    </row>
    <row r="266" spans="2:15" x14ac:dyDescent="0.2">
      <c r="B266" s="19"/>
      <c r="C266" s="19"/>
      <c r="D266" s="19"/>
      <c r="E266" s="19"/>
      <c r="F266" s="19"/>
      <c r="G266" s="19"/>
      <c r="H266" s="19"/>
      <c r="I266" s="19"/>
      <c r="J266" s="19"/>
      <c r="K266" s="19"/>
      <c r="L266" s="19"/>
      <c r="M266" s="19"/>
      <c r="N266" s="19"/>
      <c r="O266" s="19"/>
    </row>
    <row r="267" spans="2:15" x14ac:dyDescent="0.2">
      <c r="B267" s="19"/>
      <c r="C267" s="19"/>
      <c r="D267" s="19"/>
      <c r="E267" s="19"/>
      <c r="F267" s="19"/>
      <c r="G267" s="19"/>
      <c r="H267" s="19"/>
      <c r="I267" s="19"/>
      <c r="J267" s="19"/>
      <c r="K267" s="19"/>
      <c r="L267" s="19"/>
      <c r="M267" s="19"/>
      <c r="N267" s="19"/>
      <c r="O267" s="19"/>
    </row>
    <row r="268" spans="2:15" x14ac:dyDescent="0.2">
      <c r="B268" s="19"/>
      <c r="C268" s="19"/>
      <c r="D268" s="19"/>
      <c r="E268" s="19"/>
      <c r="F268" s="19"/>
      <c r="G268" s="19"/>
      <c r="H268" s="19"/>
      <c r="I268" s="19"/>
      <c r="J268" s="19"/>
      <c r="K268" s="19"/>
      <c r="L268" s="19"/>
      <c r="M268" s="19"/>
      <c r="N268" s="19"/>
      <c r="O268" s="19"/>
    </row>
    <row r="269" spans="2:15" x14ac:dyDescent="0.2">
      <c r="B269" s="19"/>
      <c r="C269" s="19"/>
      <c r="D269" s="19"/>
      <c r="E269" s="19"/>
      <c r="F269" s="19"/>
      <c r="G269" s="19"/>
      <c r="H269" s="19"/>
      <c r="I269" s="19"/>
      <c r="J269" s="19"/>
      <c r="K269" s="19"/>
      <c r="L269" s="19"/>
      <c r="M269" s="19"/>
      <c r="N269" s="19"/>
      <c r="O269" s="19"/>
    </row>
    <row r="270" spans="2:15" x14ac:dyDescent="0.2">
      <c r="B270" s="19"/>
      <c r="C270" s="19"/>
      <c r="D270" s="19"/>
      <c r="E270" s="19"/>
      <c r="F270" s="19"/>
      <c r="G270" s="19"/>
      <c r="H270" s="19"/>
      <c r="I270" s="19"/>
      <c r="J270" s="19"/>
      <c r="K270" s="19"/>
      <c r="L270" s="19"/>
      <c r="M270" s="19"/>
      <c r="N270" s="19"/>
      <c r="O270" s="19"/>
    </row>
    <row r="271" spans="2:15" x14ac:dyDescent="0.2">
      <c r="B271" s="19"/>
      <c r="C271" s="19"/>
      <c r="D271" s="19"/>
      <c r="E271" s="19"/>
      <c r="F271" s="19"/>
      <c r="G271" s="19"/>
      <c r="H271" s="19"/>
      <c r="I271" s="19"/>
      <c r="J271" s="19"/>
      <c r="K271" s="19"/>
      <c r="L271" s="19"/>
      <c r="M271" s="19"/>
      <c r="N271" s="19"/>
      <c r="O271" s="19"/>
    </row>
    <row r="272" spans="2:15" x14ac:dyDescent="0.2">
      <c r="B272" s="19"/>
      <c r="C272" s="19"/>
      <c r="D272" s="19"/>
      <c r="E272" s="19"/>
      <c r="F272" s="19"/>
      <c r="G272" s="19"/>
      <c r="H272" s="19"/>
      <c r="I272" s="19"/>
      <c r="J272" s="19"/>
      <c r="K272" s="19"/>
      <c r="L272" s="19"/>
      <c r="M272" s="19"/>
      <c r="N272" s="19"/>
      <c r="O272" s="19"/>
    </row>
    <row r="273" spans="2:15" x14ac:dyDescent="0.2">
      <c r="B273" s="19"/>
      <c r="C273" s="19"/>
      <c r="D273" s="19"/>
      <c r="E273" s="19"/>
      <c r="F273" s="19"/>
      <c r="G273" s="19"/>
      <c r="H273" s="19"/>
      <c r="I273" s="19"/>
      <c r="J273" s="19"/>
      <c r="K273" s="19"/>
      <c r="L273" s="19"/>
      <c r="M273" s="19"/>
      <c r="N273" s="19"/>
      <c r="O273" s="19"/>
    </row>
    <row r="274" spans="2:15" x14ac:dyDescent="0.2">
      <c r="B274" s="19"/>
      <c r="C274" s="19"/>
      <c r="D274" s="19"/>
      <c r="E274" s="19"/>
      <c r="F274" s="19"/>
      <c r="G274" s="19"/>
      <c r="H274" s="19"/>
      <c r="I274" s="19"/>
      <c r="J274" s="19"/>
      <c r="K274" s="19"/>
      <c r="L274" s="19"/>
      <c r="M274" s="19"/>
      <c r="N274" s="19"/>
      <c r="O274" s="19"/>
    </row>
    <row r="275" spans="2:15" x14ac:dyDescent="0.2">
      <c r="B275" s="19"/>
      <c r="C275" s="19"/>
      <c r="D275" s="19"/>
      <c r="E275" s="19"/>
      <c r="F275" s="19"/>
      <c r="G275" s="19"/>
      <c r="H275" s="19"/>
      <c r="I275" s="19"/>
      <c r="J275" s="19"/>
      <c r="K275" s="19"/>
      <c r="L275" s="19"/>
      <c r="M275" s="19"/>
      <c r="N275" s="19"/>
      <c r="O275" s="19"/>
    </row>
    <row r="276" spans="2:15" x14ac:dyDescent="0.2">
      <c r="B276" s="19"/>
      <c r="C276" s="19"/>
      <c r="D276" s="19"/>
      <c r="E276" s="19"/>
      <c r="F276" s="19"/>
      <c r="G276" s="19"/>
      <c r="H276" s="19"/>
      <c r="I276" s="19"/>
      <c r="J276" s="19"/>
      <c r="K276" s="19"/>
      <c r="L276" s="19"/>
      <c r="M276" s="19"/>
      <c r="N276" s="19"/>
      <c r="O276" s="19"/>
    </row>
    <row r="277" spans="2:15" x14ac:dyDescent="0.2">
      <c r="B277" s="19"/>
      <c r="C277" s="19"/>
      <c r="D277" s="19"/>
      <c r="E277" s="19"/>
      <c r="F277" s="19"/>
      <c r="G277" s="19"/>
      <c r="H277" s="19"/>
      <c r="I277" s="19"/>
      <c r="J277" s="19"/>
      <c r="K277" s="19"/>
      <c r="L277" s="19"/>
      <c r="M277" s="19"/>
      <c r="N277" s="19"/>
      <c r="O277" s="19"/>
    </row>
    <row r="278" spans="2:15" x14ac:dyDescent="0.2">
      <c r="B278" s="19"/>
      <c r="C278" s="19"/>
      <c r="D278" s="19"/>
      <c r="E278" s="19"/>
      <c r="F278" s="19"/>
      <c r="G278" s="19"/>
      <c r="H278" s="19"/>
      <c r="I278" s="19"/>
      <c r="J278" s="19"/>
      <c r="K278" s="19"/>
      <c r="L278" s="19"/>
      <c r="M278" s="19"/>
      <c r="N278" s="19"/>
      <c r="O278" s="19"/>
    </row>
    <row r="279" spans="2:15" x14ac:dyDescent="0.2">
      <c r="B279" s="19"/>
      <c r="C279" s="19"/>
      <c r="D279" s="19"/>
      <c r="E279" s="19"/>
      <c r="F279" s="19"/>
      <c r="G279" s="19"/>
      <c r="H279" s="19"/>
      <c r="I279" s="19"/>
      <c r="J279" s="19"/>
      <c r="K279" s="19"/>
      <c r="L279" s="19"/>
      <c r="M279" s="19"/>
      <c r="N279" s="19"/>
      <c r="O279" s="19"/>
    </row>
    <row r="280" spans="2:15" x14ac:dyDescent="0.2">
      <c r="B280" s="19"/>
      <c r="C280" s="19"/>
      <c r="D280" s="19"/>
      <c r="E280" s="19"/>
      <c r="F280" s="19"/>
      <c r="G280" s="19"/>
      <c r="H280" s="19"/>
      <c r="I280" s="19"/>
      <c r="J280" s="19"/>
      <c r="K280" s="19"/>
      <c r="L280" s="19"/>
      <c r="M280" s="19"/>
      <c r="N280" s="19"/>
      <c r="O280" s="19"/>
    </row>
    <row r="281" spans="2:15" x14ac:dyDescent="0.2">
      <c r="B281" s="19"/>
      <c r="C281" s="19"/>
      <c r="D281" s="19"/>
      <c r="E281" s="19"/>
      <c r="F281" s="19"/>
      <c r="G281" s="19"/>
      <c r="H281" s="19"/>
      <c r="I281" s="19"/>
      <c r="J281" s="19"/>
      <c r="K281" s="19"/>
      <c r="L281" s="19"/>
      <c r="M281" s="19"/>
      <c r="N281" s="19"/>
      <c r="O281" s="19"/>
    </row>
    <row r="282" spans="2:15" x14ac:dyDescent="0.2">
      <c r="B282" s="19"/>
      <c r="C282" s="19"/>
      <c r="D282" s="19"/>
      <c r="E282" s="19"/>
      <c r="F282" s="19"/>
      <c r="G282" s="19"/>
      <c r="H282" s="19"/>
      <c r="I282" s="19"/>
      <c r="J282" s="19"/>
      <c r="K282" s="19"/>
      <c r="L282" s="19"/>
      <c r="M282" s="19"/>
      <c r="N282" s="19"/>
      <c r="O282" s="19"/>
    </row>
    <row r="283" spans="2:15" x14ac:dyDescent="0.2">
      <c r="B283" s="19"/>
      <c r="C283" s="19"/>
      <c r="D283" s="19"/>
      <c r="E283" s="19"/>
      <c r="F283" s="19"/>
      <c r="G283" s="19"/>
      <c r="H283" s="19"/>
      <c r="I283" s="19"/>
      <c r="J283" s="19"/>
      <c r="K283" s="19"/>
      <c r="L283" s="19"/>
      <c r="M283" s="19"/>
      <c r="N283" s="19"/>
      <c r="O283" s="19"/>
    </row>
    <row r="284" spans="2:15" x14ac:dyDescent="0.2">
      <c r="B284" s="19"/>
      <c r="C284" s="19"/>
      <c r="D284" s="19"/>
      <c r="E284" s="19"/>
      <c r="F284" s="19"/>
      <c r="G284" s="19"/>
      <c r="H284" s="19"/>
      <c r="I284" s="19"/>
      <c r="J284" s="19"/>
      <c r="K284" s="19"/>
      <c r="L284" s="19"/>
      <c r="M284" s="19"/>
      <c r="N284" s="19"/>
      <c r="O284" s="19"/>
    </row>
    <row r="285" spans="2:15" x14ac:dyDescent="0.2">
      <c r="B285" s="19"/>
      <c r="C285" s="19"/>
      <c r="D285" s="19"/>
      <c r="E285" s="19"/>
      <c r="F285" s="19"/>
      <c r="G285" s="19"/>
      <c r="H285" s="19"/>
      <c r="I285" s="19"/>
      <c r="J285" s="19"/>
      <c r="K285" s="19"/>
      <c r="L285" s="19"/>
      <c r="M285" s="19"/>
      <c r="N285" s="19"/>
      <c r="O285" s="19"/>
    </row>
    <row r="286" spans="2:15" x14ac:dyDescent="0.2">
      <c r="B286" s="19"/>
      <c r="C286" s="19"/>
      <c r="D286" s="19"/>
      <c r="E286" s="19"/>
      <c r="F286" s="19"/>
      <c r="G286" s="19"/>
      <c r="H286" s="19"/>
      <c r="I286" s="19"/>
      <c r="J286" s="19"/>
      <c r="K286" s="19"/>
      <c r="L286" s="19"/>
      <c r="M286" s="19"/>
      <c r="N286" s="19"/>
      <c r="O286" s="19"/>
    </row>
    <row r="287" spans="2:15" x14ac:dyDescent="0.2">
      <c r="B287" s="19"/>
      <c r="C287" s="19"/>
      <c r="D287" s="19"/>
      <c r="E287" s="19"/>
      <c r="F287" s="19"/>
      <c r="G287" s="19"/>
      <c r="H287" s="19"/>
      <c r="I287" s="19"/>
      <c r="J287" s="19"/>
      <c r="K287" s="19"/>
      <c r="L287" s="19"/>
      <c r="M287" s="19"/>
      <c r="N287" s="19"/>
      <c r="O287" s="19"/>
    </row>
    <row r="288" spans="2:15" x14ac:dyDescent="0.2">
      <c r="B288" s="19"/>
      <c r="C288" s="19"/>
      <c r="D288" s="19"/>
      <c r="E288" s="19"/>
      <c r="F288" s="19"/>
      <c r="G288" s="19"/>
      <c r="H288" s="19"/>
      <c r="I288" s="19"/>
      <c r="J288" s="19"/>
      <c r="K288" s="19"/>
      <c r="L288" s="19"/>
      <c r="M288" s="19"/>
      <c r="N288" s="19"/>
      <c r="O288" s="19"/>
    </row>
    <row r="289" spans="2:15" x14ac:dyDescent="0.2">
      <c r="B289" s="19"/>
      <c r="C289" s="19"/>
      <c r="D289" s="19"/>
      <c r="E289" s="19"/>
      <c r="F289" s="19"/>
      <c r="G289" s="19"/>
      <c r="H289" s="19"/>
      <c r="I289" s="19"/>
      <c r="J289" s="19"/>
      <c r="K289" s="19"/>
      <c r="L289" s="19"/>
      <c r="M289" s="19"/>
      <c r="N289" s="19"/>
      <c r="O289" s="19"/>
    </row>
    <row r="290" spans="2:15" x14ac:dyDescent="0.2">
      <c r="B290" s="19"/>
      <c r="C290" s="19"/>
      <c r="D290" s="19"/>
      <c r="E290" s="19"/>
      <c r="F290" s="19"/>
      <c r="G290" s="19"/>
      <c r="H290" s="19"/>
      <c r="I290" s="19"/>
      <c r="J290" s="19"/>
      <c r="K290" s="19"/>
      <c r="L290" s="19"/>
      <c r="M290" s="19"/>
      <c r="N290" s="19"/>
      <c r="O290" s="19"/>
    </row>
    <row r="291" spans="2:15" x14ac:dyDescent="0.2">
      <c r="B291" s="19"/>
      <c r="C291" s="19"/>
      <c r="D291" s="19"/>
      <c r="E291" s="19"/>
      <c r="F291" s="19"/>
      <c r="G291" s="19"/>
      <c r="H291" s="19"/>
      <c r="I291" s="19"/>
      <c r="J291" s="19"/>
      <c r="K291" s="19"/>
      <c r="L291" s="19"/>
      <c r="M291" s="19"/>
      <c r="N291" s="19"/>
      <c r="O291" s="19"/>
    </row>
    <row r="292" spans="2:15" x14ac:dyDescent="0.2">
      <c r="B292" s="19"/>
      <c r="C292" s="19"/>
      <c r="D292" s="19"/>
      <c r="E292" s="19"/>
      <c r="F292" s="19"/>
      <c r="G292" s="19"/>
      <c r="H292" s="19"/>
      <c r="I292" s="19"/>
      <c r="J292" s="19"/>
      <c r="K292" s="19"/>
      <c r="L292" s="19"/>
      <c r="M292" s="19"/>
      <c r="N292" s="19"/>
      <c r="O292" s="19"/>
    </row>
    <row r="293" spans="2:15" x14ac:dyDescent="0.2">
      <c r="B293" s="19"/>
      <c r="C293" s="19"/>
      <c r="D293" s="19"/>
      <c r="E293" s="19"/>
      <c r="F293" s="19"/>
      <c r="G293" s="19"/>
      <c r="H293" s="19"/>
      <c r="I293" s="19"/>
      <c r="J293" s="19"/>
      <c r="K293" s="19"/>
      <c r="L293" s="19"/>
      <c r="M293" s="19"/>
      <c r="N293" s="19"/>
      <c r="O293" s="19"/>
    </row>
    <row r="294" spans="2:15" x14ac:dyDescent="0.2">
      <c r="B294" s="19"/>
      <c r="C294" s="19"/>
      <c r="D294" s="19"/>
      <c r="E294" s="19"/>
      <c r="F294" s="19"/>
      <c r="G294" s="19"/>
      <c r="H294" s="19"/>
      <c r="I294" s="19"/>
      <c r="J294" s="19"/>
      <c r="K294" s="19"/>
      <c r="L294" s="19"/>
      <c r="M294" s="19"/>
      <c r="N294" s="19"/>
      <c r="O294" s="19"/>
    </row>
    <row r="295" spans="2:15" x14ac:dyDescent="0.2">
      <c r="B295" s="19"/>
      <c r="C295" s="19"/>
      <c r="D295" s="19"/>
      <c r="E295" s="19"/>
      <c r="F295" s="19"/>
      <c r="G295" s="19"/>
      <c r="H295" s="19"/>
      <c r="I295" s="19"/>
      <c r="J295" s="19"/>
      <c r="K295" s="19"/>
      <c r="L295" s="19"/>
      <c r="M295" s="19"/>
      <c r="N295" s="19"/>
      <c r="O295" s="19"/>
    </row>
    <row r="296" spans="2:15" x14ac:dyDescent="0.2">
      <c r="B296" s="19"/>
      <c r="C296" s="19"/>
      <c r="D296" s="19"/>
      <c r="E296" s="19"/>
      <c r="F296" s="19"/>
      <c r="G296" s="19"/>
      <c r="H296" s="19"/>
      <c r="I296" s="19"/>
      <c r="J296" s="19"/>
      <c r="K296" s="19"/>
      <c r="L296" s="19"/>
      <c r="M296" s="19"/>
      <c r="N296" s="19"/>
      <c r="O296" s="19"/>
    </row>
    <row r="297" spans="2:15" x14ac:dyDescent="0.2">
      <c r="B297" s="19"/>
      <c r="C297" s="19"/>
      <c r="D297" s="19"/>
      <c r="E297" s="19"/>
      <c r="F297" s="19"/>
      <c r="G297" s="19"/>
      <c r="H297" s="19"/>
      <c r="I297" s="19"/>
      <c r="J297" s="19"/>
      <c r="K297" s="19"/>
      <c r="L297" s="19"/>
      <c r="M297" s="19"/>
      <c r="N297" s="19"/>
      <c r="O297" s="19"/>
    </row>
    <row r="298" spans="2:15" x14ac:dyDescent="0.2">
      <c r="B298" s="19"/>
      <c r="C298" s="19"/>
      <c r="D298" s="19"/>
      <c r="E298" s="19"/>
      <c r="F298" s="19"/>
      <c r="G298" s="19"/>
      <c r="H298" s="19"/>
      <c r="I298" s="19"/>
      <c r="J298" s="19"/>
      <c r="K298" s="19"/>
      <c r="L298" s="19"/>
      <c r="M298" s="19"/>
      <c r="N298" s="19"/>
      <c r="O298" s="19"/>
    </row>
    <row r="299" spans="2:15" x14ac:dyDescent="0.2">
      <c r="B299" s="19"/>
      <c r="C299" s="19"/>
      <c r="D299" s="19"/>
      <c r="E299" s="19"/>
      <c r="F299" s="19"/>
      <c r="G299" s="19"/>
      <c r="H299" s="19"/>
      <c r="I299" s="19"/>
      <c r="J299" s="19"/>
      <c r="K299" s="19"/>
      <c r="L299" s="19"/>
      <c r="M299" s="19"/>
      <c r="N299" s="19"/>
      <c r="O299" s="19"/>
    </row>
    <row r="300" spans="2:15" x14ac:dyDescent="0.2">
      <c r="B300" s="19"/>
      <c r="C300" s="19"/>
      <c r="D300" s="19"/>
      <c r="E300" s="19"/>
      <c r="F300" s="19"/>
      <c r="G300" s="19"/>
      <c r="H300" s="19"/>
      <c r="I300" s="19"/>
      <c r="J300" s="19"/>
      <c r="K300" s="19"/>
      <c r="L300" s="19"/>
      <c r="M300" s="19"/>
      <c r="N300" s="19"/>
      <c r="O300" s="19"/>
    </row>
    <row r="301" spans="2:15" x14ac:dyDescent="0.2">
      <c r="B301" s="19"/>
      <c r="C301" s="19"/>
      <c r="D301" s="19"/>
      <c r="E301" s="19"/>
      <c r="F301" s="19"/>
      <c r="G301" s="19"/>
      <c r="H301" s="19"/>
      <c r="I301" s="19"/>
      <c r="J301" s="19"/>
      <c r="K301" s="19"/>
      <c r="L301" s="19"/>
      <c r="M301" s="19"/>
      <c r="N301" s="19"/>
      <c r="O301" s="19"/>
    </row>
    <row r="302" spans="2:15" x14ac:dyDescent="0.2">
      <c r="B302" s="19"/>
      <c r="C302" s="19"/>
      <c r="D302" s="19"/>
      <c r="E302" s="19"/>
      <c r="F302" s="19"/>
      <c r="G302" s="19"/>
      <c r="H302" s="19"/>
      <c r="I302" s="19"/>
      <c r="J302" s="19"/>
      <c r="K302" s="19"/>
      <c r="L302" s="19"/>
      <c r="M302" s="19"/>
      <c r="N302" s="19"/>
      <c r="O302" s="19"/>
    </row>
    <row r="303" spans="2:15" x14ac:dyDescent="0.2">
      <c r="B303" s="19"/>
      <c r="C303" s="19"/>
      <c r="D303" s="19"/>
      <c r="E303" s="19"/>
      <c r="F303" s="19"/>
      <c r="G303" s="19"/>
      <c r="H303" s="19"/>
      <c r="I303" s="19"/>
      <c r="J303" s="19"/>
      <c r="K303" s="19"/>
      <c r="L303" s="19"/>
      <c r="M303" s="19"/>
      <c r="N303" s="19"/>
      <c r="O303" s="19"/>
    </row>
    <row r="304" spans="2:15" x14ac:dyDescent="0.2">
      <c r="B304" s="19"/>
      <c r="C304" s="19"/>
      <c r="D304" s="19"/>
      <c r="E304" s="19"/>
      <c r="F304" s="19"/>
      <c r="G304" s="19"/>
      <c r="H304" s="19"/>
      <c r="I304" s="19"/>
      <c r="J304" s="19"/>
      <c r="K304" s="19"/>
      <c r="L304" s="19"/>
      <c r="M304" s="19"/>
      <c r="N304" s="19"/>
      <c r="O304" s="19"/>
    </row>
    <row r="305" spans="2:15" x14ac:dyDescent="0.2">
      <c r="B305" s="19"/>
      <c r="C305" s="19"/>
      <c r="D305" s="19"/>
      <c r="E305" s="19"/>
      <c r="F305" s="19"/>
      <c r="G305" s="19"/>
      <c r="H305" s="19"/>
      <c r="I305" s="19"/>
      <c r="J305" s="19"/>
      <c r="K305" s="19"/>
      <c r="L305" s="19"/>
      <c r="M305" s="19"/>
      <c r="N305" s="19"/>
      <c r="O305" s="19"/>
    </row>
    <row r="306" spans="2:15" x14ac:dyDescent="0.2">
      <c r="B306" s="19"/>
      <c r="C306" s="19"/>
      <c r="D306" s="19"/>
      <c r="E306" s="19"/>
      <c r="F306" s="19"/>
      <c r="G306" s="19"/>
      <c r="H306" s="19"/>
      <c r="I306" s="19"/>
      <c r="J306" s="19"/>
      <c r="K306" s="19"/>
      <c r="L306" s="19"/>
      <c r="M306" s="19"/>
      <c r="N306" s="19"/>
      <c r="O306" s="19"/>
    </row>
    <row r="307" spans="2:15" x14ac:dyDescent="0.2">
      <c r="B307" s="19"/>
      <c r="C307" s="19"/>
      <c r="D307" s="19"/>
      <c r="E307" s="19"/>
      <c r="F307" s="19"/>
      <c r="G307" s="19"/>
      <c r="H307" s="19"/>
      <c r="I307" s="19"/>
      <c r="J307" s="19"/>
      <c r="K307" s="19"/>
      <c r="L307" s="19"/>
      <c r="M307" s="19"/>
      <c r="N307" s="19"/>
      <c r="O307" s="19"/>
    </row>
    <row r="308" spans="2:15" x14ac:dyDescent="0.2">
      <c r="B308" s="19"/>
      <c r="C308" s="19"/>
      <c r="D308" s="19"/>
      <c r="E308" s="19"/>
      <c r="F308" s="19"/>
      <c r="G308" s="19"/>
      <c r="H308" s="19"/>
      <c r="I308" s="19"/>
      <c r="J308" s="19"/>
      <c r="K308" s="19"/>
      <c r="L308" s="19"/>
      <c r="M308" s="19"/>
      <c r="N308" s="19"/>
      <c r="O308" s="19"/>
    </row>
    <row r="309" spans="2:15" x14ac:dyDescent="0.2">
      <c r="B309" s="19"/>
      <c r="C309" s="19"/>
      <c r="D309" s="19"/>
      <c r="E309" s="19"/>
      <c r="F309" s="19"/>
      <c r="G309" s="19"/>
      <c r="H309" s="19"/>
      <c r="I309" s="19"/>
      <c r="J309" s="19"/>
      <c r="K309" s="19"/>
      <c r="L309" s="19"/>
      <c r="M309" s="19"/>
      <c r="N309" s="19"/>
      <c r="O309" s="19"/>
    </row>
    <row r="310" spans="2:15" x14ac:dyDescent="0.2">
      <c r="B310" s="19"/>
      <c r="C310" s="19"/>
      <c r="D310" s="19"/>
      <c r="E310" s="19"/>
      <c r="F310" s="19"/>
      <c r="G310" s="19"/>
      <c r="H310" s="19"/>
      <c r="I310" s="19"/>
      <c r="J310" s="19"/>
      <c r="K310" s="19"/>
      <c r="L310" s="19"/>
      <c r="M310" s="19"/>
      <c r="N310" s="19"/>
      <c r="O310" s="19"/>
    </row>
    <row r="311" spans="2:15" x14ac:dyDescent="0.2">
      <c r="B311" s="19"/>
      <c r="C311" s="19"/>
      <c r="D311" s="19"/>
      <c r="E311" s="19"/>
      <c r="F311" s="19"/>
      <c r="G311" s="19"/>
      <c r="H311" s="19"/>
      <c r="I311" s="19"/>
      <c r="J311" s="19"/>
      <c r="K311" s="19"/>
      <c r="L311" s="19"/>
      <c r="M311" s="19"/>
      <c r="N311" s="19"/>
      <c r="O311" s="19"/>
    </row>
    <row r="312" spans="2:15" x14ac:dyDescent="0.2">
      <c r="B312" s="19"/>
      <c r="C312" s="19"/>
      <c r="D312" s="19"/>
      <c r="E312" s="19"/>
      <c r="F312" s="19"/>
      <c r="G312" s="19"/>
      <c r="H312" s="19"/>
      <c r="I312" s="19"/>
      <c r="J312" s="19"/>
      <c r="K312" s="19"/>
      <c r="L312" s="19"/>
      <c r="M312" s="19"/>
      <c r="N312" s="19"/>
      <c r="O312" s="19"/>
    </row>
    <row r="313" spans="2:15" x14ac:dyDescent="0.2">
      <c r="B313" s="19"/>
      <c r="C313" s="19"/>
      <c r="D313" s="19"/>
      <c r="E313" s="19"/>
      <c r="F313" s="19"/>
      <c r="G313" s="19"/>
      <c r="H313" s="19"/>
      <c r="I313" s="19"/>
      <c r="J313" s="19"/>
      <c r="K313" s="19"/>
      <c r="L313" s="19"/>
      <c r="M313" s="19"/>
      <c r="N313" s="19"/>
      <c r="O313" s="19"/>
    </row>
    <row r="314" spans="2:15" x14ac:dyDescent="0.2">
      <c r="B314" s="19"/>
      <c r="C314" s="19"/>
      <c r="D314" s="19"/>
      <c r="E314" s="19"/>
      <c r="F314" s="19"/>
      <c r="G314" s="19"/>
      <c r="H314" s="19"/>
      <c r="I314" s="19"/>
      <c r="J314" s="19"/>
      <c r="K314" s="19"/>
      <c r="L314" s="19"/>
      <c r="M314" s="19"/>
      <c r="N314" s="19"/>
      <c r="O314" s="19"/>
    </row>
    <row r="315" spans="2:15" x14ac:dyDescent="0.2">
      <c r="B315" s="19"/>
      <c r="C315" s="19"/>
      <c r="D315" s="19"/>
      <c r="E315" s="19"/>
      <c r="F315" s="19"/>
      <c r="G315" s="19"/>
      <c r="H315" s="19"/>
      <c r="I315" s="19"/>
      <c r="J315" s="19"/>
      <c r="K315" s="19"/>
      <c r="L315" s="19"/>
      <c r="M315" s="19"/>
      <c r="N315" s="19"/>
      <c r="O315" s="19"/>
    </row>
    <row r="316" spans="2:15" x14ac:dyDescent="0.2">
      <c r="B316" s="19"/>
      <c r="C316" s="19"/>
      <c r="D316" s="19"/>
      <c r="E316" s="19"/>
      <c r="F316" s="19"/>
      <c r="G316" s="19"/>
      <c r="H316" s="19"/>
      <c r="I316" s="19"/>
      <c r="J316" s="19"/>
      <c r="K316" s="19"/>
      <c r="L316" s="19"/>
      <c r="M316" s="19"/>
      <c r="N316" s="19"/>
      <c r="O316" s="19"/>
    </row>
    <row r="317" spans="2:15" x14ac:dyDescent="0.2">
      <c r="B317" s="19"/>
      <c r="C317" s="19"/>
      <c r="D317" s="19"/>
      <c r="E317" s="19"/>
      <c r="F317" s="19"/>
      <c r="G317" s="19"/>
      <c r="H317" s="19"/>
      <c r="I317" s="19"/>
      <c r="J317" s="19"/>
      <c r="K317" s="19"/>
      <c r="L317" s="19"/>
      <c r="M317" s="19"/>
      <c r="N317" s="19"/>
      <c r="O317" s="19"/>
    </row>
    <row r="318" spans="2:15" x14ac:dyDescent="0.2">
      <c r="B318" s="19"/>
      <c r="C318" s="19"/>
      <c r="D318" s="19"/>
      <c r="E318" s="19"/>
      <c r="F318" s="19"/>
      <c r="G318" s="19"/>
      <c r="H318" s="19"/>
      <c r="I318" s="19"/>
      <c r="J318" s="19"/>
      <c r="K318" s="19"/>
      <c r="L318" s="19"/>
      <c r="M318" s="19"/>
      <c r="N318" s="19"/>
      <c r="O318" s="19"/>
    </row>
    <row r="319" spans="2:15" x14ac:dyDescent="0.2">
      <c r="B319" s="19"/>
      <c r="C319" s="19"/>
      <c r="D319" s="19"/>
      <c r="E319" s="19"/>
      <c r="F319" s="19"/>
      <c r="G319" s="19"/>
      <c r="H319" s="19"/>
      <c r="I319" s="19"/>
      <c r="J319" s="19"/>
      <c r="K319" s="19"/>
      <c r="L319" s="19"/>
      <c r="M319" s="19"/>
      <c r="N319" s="19"/>
      <c r="O319" s="19"/>
    </row>
    <row r="320" spans="2:15" x14ac:dyDescent="0.2">
      <c r="B320" s="19"/>
      <c r="C320" s="19"/>
      <c r="D320" s="19"/>
      <c r="E320" s="19"/>
      <c r="F320" s="19"/>
      <c r="G320" s="19"/>
      <c r="H320" s="19"/>
      <c r="I320" s="19"/>
      <c r="J320" s="19"/>
      <c r="K320" s="19"/>
      <c r="L320" s="19"/>
      <c r="M320" s="19"/>
      <c r="N320" s="19"/>
      <c r="O320" s="19"/>
    </row>
    <row r="321" spans="2:15" x14ac:dyDescent="0.2">
      <c r="B321" s="19"/>
      <c r="C321" s="19"/>
      <c r="D321" s="19"/>
      <c r="E321" s="19"/>
      <c r="F321" s="19"/>
      <c r="G321" s="19"/>
      <c r="H321" s="19"/>
      <c r="I321" s="19"/>
      <c r="J321" s="19"/>
      <c r="K321" s="19"/>
      <c r="L321" s="19"/>
      <c r="M321" s="19"/>
      <c r="N321" s="19"/>
      <c r="O321" s="19"/>
    </row>
    <row r="322" spans="2:15" x14ac:dyDescent="0.2">
      <c r="B322" s="19"/>
      <c r="C322" s="19"/>
      <c r="D322" s="19"/>
      <c r="E322" s="19"/>
      <c r="F322" s="19"/>
      <c r="G322" s="19"/>
      <c r="H322" s="19"/>
      <c r="I322" s="19"/>
      <c r="J322" s="19"/>
      <c r="K322" s="19"/>
      <c r="L322" s="19"/>
      <c r="M322" s="19"/>
      <c r="N322" s="19"/>
      <c r="O322" s="19"/>
    </row>
    <row r="323" spans="2:15" x14ac:dyDescent="0.2">
      <c r="B323" s="19"/>
      <c r="C323" s="19"/>
      <c r="D323" s="19"/>
      <c r="E323" s="19"/>
      <c r="F323" s="19"/>
      <c r="G323" s="19"/>
      <c r="H323" s="19"/>
      <c r="I323" s="19"/>
      <c r="J323" s="19"/>
      <c r="K323" s="19"/>
      <c r="L323" s="19"/>
      <c r="M323" s="19"/>
      <c r="N323" s="19"/>
      <c r="O323" s="19"/>
    </row>
    <row r="324" spans="2:15" x14ac:dyDescent="0.2">
      <c r="B324" s="19"/>
      <c r="C324" s="19"/>
      <c r="D324" s="19"/>
      <c r="E324" s="19"/>
      <c r="F324" s="19"/>
      <c r="G324" s="19"/>
      <c r="H324" s="19"/>
      <c r="I324" s="19"/>
      <c r="J324" s="19"/>
      <c r="K324" s="19"/>
      <c r="L324" s="19"/>
      <c r="M324" s="19"/>
      <c r="N324" s="19"/>
      <c r="O324" s="19"/>
    </row>
    <row r="325" spans="2:15" x14ac:dyDescent="0.2">
      <c r="B325" s="19"/>
      <c r="C325" s="19"/>
      <c r="D325" s="19"/>
      <c r="E325" s="19"/>
      <c r="F325" s="19"/>
      <c r="G325" s="19"/>
      <c r="H325" s="19"/>
      <c r="I325" s="19"/>
      <c r="J325" s="19"/>
      <c r="K325" s="19"/>
      <c r="L325" s="19"/>
      <c r="M325" s="19"/>
      <c r="N325" s="19"/>
      <c r="O325" s="19"/>
    </row>
    <row r="326" spans="2:15" x14ac:dyDescent="0.2">
      <c r="B326" s="19"/>
      <c r="C326" s="19"/>
      <c r="D326" s="19"/>
      <c r="E326" s="19"/>
      <c r="F326" s="19"/>
      <c r="G326" s="19"/>
      <c r="H326" s="19"/>
      <c r="I326" s="19"/>
      <c r="J326" s="19"/>
      <c r="K326" s="19"/>
      <c r="L326" s="19"/>
      <c r="M326" s="19"/>
      <c r="N326" s="19"/>
      <c r="O326" s="19"/>
    </row>
    <row r="327" spans="2:15" x14ac:dyDescent="0.2">
      <c r="B327" s="19"/>
      <c r="C327" s="19"/>
      <c r="D327" s="19"/>
      <c r="E327" s="19"/>
      <c r="F327" s="19"/>
      <c r="G327" s="19"/>
      <c r="H327" s="19"/>
      <c r="I327" s="19"/>
      <c r="J327" s="19"/>
      <c r="K327" s="19"/>
      <c r="L327" s="19"/>
      <c r="M327" s="19"/>
      <c r="N327" s="19"/>
      <c r="O327" s="19"/>
    </row>
    <row r="328" spans="2:15" x14ac:dyDescent="0.2">
      <c r="B328" s="19"/>
      <c r="C328" s="19"/>
      <c r="D328" s="19"/>
      <c r="E328" s="19"/>
      <c r="F328" s="19"/>
      <c r="G328" s="19"/>
      <c r="H328" s="19"/>
      <c r="I328" s="19"/>
      <c r="J328" s="19"/>
      <c r="K328" s="19"/>
      <c r="L328" s="19"/>
      <c r="M328" s="19"/>
      <c r="N328" s="19"/>
      <c r="O328" s="19"/>
    </row>
    <row r="329" spans="2:15" x14ac:dyDescent="0.2">
      <c r="B329" s="19"/>
      <c r="C329" s="19"/>
      <c r="D329" s="19"/>
      <c r="E329" s="19"/>
      <c r="F329" s="19"/>
      <c r="G329" s="19"/>
      <c r="H329" s="19"/>
      <c r="I329" s="19"/>
      <c r="J329" s="19"/>
      <c r="K329" s="19"/>
      <c r="L329" s="19"/>
      <c r="M329" s="19"/>
      <c r="N329" s="19"/>
      <c r="O329" s="19"/>
    </row>
    <row r="330" spans="2:15" x14ac:dyDescent="0.2">
      <c r="B330" s="19"/>
      <c r="C330" s="19"/>
      <c r="D330" s="19"/>
      <c r="E330" s="19"/>
      <c r="F330" s="19"/>
      <c r="G330" s="19"/>
      <c r="H330" s="19"/>
      <c r="I330" s="19"/>
      <c r="J330" s="19"/>
      <c r="K330" s="19"/>
      <c r="L330" s="19"/>
      <c r="M330" s="19"/>
      <c r="N330" s="19"/>
      <c r="O330" s="19"/>
    </row>
    <row r="331" spans="2:15" x14ac:dyDescent="0.2">
      <c r="B331" s="19"/>
      <c r="C331" s="19"/>
      <c r="D331" s="19"/>
      <c r="E331" s="19"/>
      <c r="F331" s="19"/>
      <c r="G331" s="19"/>
      <c r="H331" s="19"/>
      <c r="I331" s="19"/>
      <c r="J331" s="19"/>
      <c r="K331" s="19"/>
      <c r="L331" s="19"/>
      <c r="M331" s="19"/>
      <c r="N331" s="19"/>
      <c r="O331" s="19"/>
    </row>
    <row r="332" spans="2:15" x14ac:dyDescent="0.2">
      <c r="B332" s="19"/>
      <c r="C332" s="19"/>
      <c r="D332" s="19"/>
      <c r="E332" s="19"/>
      <c r="F332" s="19"/>
      <c r="G332" s="19"/>
      <c r="H332" s="19"/>
      <c r="I332" s="19"/>
      <c r="J332" s="19"/>
      <c r="K332" s="19"/>
      <c r="L332" s="19"/>
      <c r="M332" s="19"/>
      <c r="N332" s="19"/>
      <c r="O332" s="19"/>
    </row>
    <row r="333" spans="2:15" x14ac:dyDescent="0.2">
      <c r="B333" s="19"/>
      <c r="C333" s="19"/>
      <c r="D333" s="19"/>
      <c r="E333" s="19"/>
      <c r="F333" s="19"/>
      <c r="G333" s="19"/>
      <c r="H333" s="19"/>
      <c r="I333" s="19"/>
      <c r="J333" s="19"/>
      <c r="K333" s="19"/>
      <c r="L333" s="19"/>
      <c r="M333" s="19"/>
      <c r="N333" s="19"/>
      <c r="O333" s="19"/>
    </row>
    <row r="334" spans="2:15" x14ac:dyDescent="0.2">
      <c r="B334" s="19"/>
      <c r="C334" s="19"/>
      <c r="D334" s="19"/>
      <c r="E334" s="19"/>
      <c r="F334" s="19"/>
      <c r="G334" s="19"/>
      <c r="H334" s="19"/>
      <c r="I334" s="19"/>
      <c r="J334" s="19"/>
      <c r="K334" s="19"/>
      <c r="L334" s="19"/>
      <c r="M334" s="19"/>
      <c r="N334" s="19"/>
      <c r="O334" s="19"/>
    </row>
    <row r="335" spans="2:15" x14ac:dyDescent="0.2">
      <c r="B335" s="19"/>
      <c r="C335" s="19"/>
      <c r="D335" s="19"/>
      <c r="E335" s="19"/>
      <c r="F335" s="19"/>
      <c r="G335" s="19"/>
      <c r="H335" s="19"/>
      <c r="I335" s="19"/>
      <c r="J335" s="19"/>
      <c r="K335" s="19"/>
      <c r="L335" s="19"/>
      <c r="M335" s="19"/>
      <c r="N335" s="19"/>
      <c r="O335" s="19"/>
    </row>
    <row r="336" spans="2:15" x14ac:dyDescent="0.2">
      <c r="B336" s="19"/>
      <c r="C336" s="19"/>
      <c r="D336" s="19"/>
      <c r="E336" s="19"/>
      <c r="F336" s="19"/>
      <c r="G336" s="19"/>
      <c r="H336" s="19"/>
      <c r="I336" s="19"/>
      <c r="J336" s="19"/>
      <c r="K336" s="19"/>
      <c r="L336" s="19"/>
      <c r="M336" s="19"/>
      <c r="N336" s="19"/>
      <c r="O336" s="19"/>
    </row>
    <row r="337" spans="2:15" x14ac:dyDescent="0.2">
      <c r="B337" s="19"/>
      <c r="C337" s="19"/>
      <c r="D337" s="19"/>
      <c r="E337" s="19"/>
      <c r="F337" s="19"/>
      <c r="G337" s="19"/>
      <c r="H337" s="19"/>
      <c r="I337" s="19"/>
      <c r="J337" s="19"/>
      <c r="K337" s="19"/>
      <c r="L337" s="19"/>
      <c r="M337" s="19"/>
      <c r="N337" s="19"/>
      <c r="O337" s="19"/>
    </row>
    <row r="338" spans="2:15" x14ac:dyDescent="0.2">
      <c r="B338" s="19"/>
      <c r="C338" s="19"/>
      <c r="D338" s="19"/>
      <c r="E338" s="19"/>
      <c r="F338" s="19"/>
      <c r="G338" s="19"/>
      <c r="H338" s="19"/>
      <c r="I338" s="19"/>
      <c r="J338" s="19"/>
      <c r="K338" s="19"/>
      <c r="L338" s="19"/>
      <c r="M338" s="19"/>
      <c r="N338" s="19"/>
      <c r="O338" s="19"/>
    </row>
    <row r="339" spans="2:15" x14ac:dyDescent="0.2">
      <c r="B339" s="19"/>
      <c r="C339" s="19"/>
      <c r="D339" s="19"/>
      <c r="E339" s="19"/>
      <c r="F339" s="19"/>
      <c r="G339" s="19"/>
      <c r="H339" s="19"/>
      <c r="I339" s="19"/>
      <c r="J339" s="19"/>
      <c r="K339" s="19"/>
      <c r="L339" s="19"/>
      <c r="M339" s="19"/>
      <c r="N339" s="19"/>
      <c r="O339" s="19"/>
    </row>
    <row r="340" spans="2:15" x14ac:dyDescent="0.2">
      <c r="B340" s="19"/>
      <c r="C340" s="19"/>
      <c r="D340" s="19"/>
      <c r="E340" s="19"/>
      <c r="F340" s="19"/>
      <c r="G340" s="19"/>
      <c r="H340" s="19"/>
      <c r="I340" s="19"/>
      <c r="J340" s="19"/>
      <c r="K340" s="19"/>
      <c r="L340" s="19"/>
      <c r="M340" s="19"/>
      <c r="N340" s="19"/>
      <c r="O340" s="19"/>
    </row>
    <row r="341" spans="2:15" x14ac:dyDescent="0.2">
      <c r="B341" s="19"/>
      <c r="C341" s="19"/>
      <c r="D341" s="19"/>
      <c r="E341" s="19"/>
      <c r="F341" s="19"/>
      <c r="G341" s="19"/>
      <c r="H341" s="19"/>
      <c r="I341" s="19"/>
      <c r="J341" s="19"/>
      <c r="K341" s="19"/>
      <c r="L341" s="19"/>
      <c r="M341" s="19"/>
      <c r="N341" s="19"/>
      <c r="O341" s="19"/>
    </row>
    <row r="342" spans="2:15" x14ac:dyDescent="0.2">
      <c r="B342" s="19"/>
      <c r="C342" s="19"/>
      <c r="D342" s="19"/>
      <c r="E342" s="19"/>
      <c r="F342" s="19"/>
      <c r="G342" s="19"/>
      <c r="H342" s="19"/>
      <c r="I342" s="19"/>
      <c r="J342" s="19"/>
      <c r="K342" s="19"/>
      <c r="L342" s="19"/>
      <c r="M342" s="19"/>
      <c r="N342" s="19"/>
      <c r="O342" s="19"/>
    </row>
    <row r="343" spans="2:15" x14ac:dyDescent="0.2">
      <c r="B343" s="19"/>
      <c r="C343" s="19"/>
      <c r="D343" s="19"/>
      <c r="E343" s="19"/>
      <c r="F343" s="19"/>
      <c r="G343" s="19"/>
      <c r="H343" s="19"/>
      <c r="I343" s="19"/>
      <c r="J343" s="19"/>
      <c r="K343" s="19"/>
      <c r="L343" s="19"/>
      <c r="M343" s="19"/>
      <c r="N343" s="19"/>
      <c r="O343" s="19"/>
    </row>
    <row r="344" spans="2:15" x14ac:dyDescent="0.2">
      <c r="B344" s="19"/>
      <c r="C344" s="19"/>
      <c r="D344" s="19"/>
      <c r="E344" s="19"/>
      <c r="F344" s="19"/>
      <c r="G344" s="19"/>
      <c r="H344" s="19"/>
      <c r="I344" s="19"/>
      <c r="J344" s="19"/>
      <c r="K344" s="19"/>
      <c r="L344" s="19"/>
      <c r="M344" s="19"/>
      <c r="N344" s="19"/>
      <c r="O344" s="19"/>
    </row>
    <row r="345" spans="2:15" x14ac:dyDescent="0.2">
      <c r="B345" s="19"/>
      <c r="C345" s="19"/>
      <c r="D345" s="19"/>
      <c r="E345" s="19"/>
      <c r="F345" s="19"/>
      <c r="G345" s="19"/>
      <c r="H345" s="19"/>
      <c r="I345" s="19"/>
      <c r="J345" s="19"/>
      <c r="K345" s="19"/>
      <c r="L345" s="19"/>
      <c r="M345" s="19"/>
      <c r="N345" s="19"/>
      <c r="O345" s="19"/>
    </row>
    <row r="346" spans="2:15" x14ac:dyDescent="0.2">
      <c r="B346" s="19"/>
      <c r="C346" s="19"/>
      <c r="D346" s="19"/>
      <c r="E346" s="19"/>
      <c r="F346" s="19"/>
      <c r="G346" s="19"/>
      <c r="H346" s="19"/>
      <c r="I346" s="19"/>
      <c r="J346" s="19"/>
      <c r="K346" s="19"/>
      <c r="L346" s="19"/>
      <c r="M346" s="19"/>
      <c r="N346" s="19"/>
      <c r="O346" s="19"/>
    </row>
    <row r="347" spans="2:15" x14ac:dyDescent="0.2">
      <c r="B347" s="19"/>
      <c r="C347" s="19"/>
      <c r="D347" s="19"/>
      <c r="E347" s="19"/>
      <c r="F347" s="19"/>
      <c r="G347" s="19"/>
      <c r="H347" s="19"/>
      <c r="I347" s="19"/>
      <c r="J347" s="19"/>
      <c r="K347" s="19"/>
      <c r="L347" s="19"/>
      <c r="M347" s="19"/>
      <c r="N347" s="19"/>
      <c r="O347" s="19"/>
    </row>
    <row r="348" spans="2:15" x14ac:dyDescent="0.2">
      <c r="B348" s="19"/>
      <c r="C348" s="19"/>
      <c r="D348" s="19"/>
      <c r="E348" s="19"/>
      <c r="F348" s="19"/>
      <c r="G348" s="19"/>
      <c r="H348" s="19"/>
      <c r="I348" s="19"/>
      <c r="J348" s="19"/>
      <c r="K348" s="19"/>
      <c r="L348" s="19"/>
      <c r="M348" s="19"/>
      <c r="N348" s="19"/>
      <c r="O348" s="19"/>
    </row>
    <row r="349" spans="2:15" x14ac:dyDescent="0.2">
      <c r="B349" s="19"/>
      <c r="C349" s="19"/>
      <c r="D349" s="19"/>
      <c r="E349" s="19"/>
      <c r="F349" s="19"/>
      <c r="G349" s="19"/>
      <c r="H349" s="19"/>
      <c r="I349" s="19"/>
      <c r="J349" s="19"/>
      <c r="K349" s="19"/>
      <c r="L349" s="19"/>
      <c r="M349" s="19"/>
      <c r="N349" s="19"/>
      <c r="O349" s="19"/>
    </row>
    <row r="350" spans="2:15" x14ac:dyDescent="0.2">
      <c r="B350" s="19"/>
      <c r="C350" s="19"/>
      <c r="D350" s="19"/>
      <c r="E350" s="19"/>
      <c r="F350" s="19"/>
      <c r="G350" s="19"/>
      <c r="H350" s="19"/>
      <c r="I350" s="19"/>
      <c r="J350" s="19"/>
      <c r="K350" s="19"/>
      <c r="L350" s="19"/>
      <c r="M350" s="19"/>
      <c r="N350" s="19"/>
      <c r="O350" s="19"/>
    </row>
    <row r="351" spans="2:15" x14ac:dyDescent="0.2">
      <c r="B351" s="19"/>
      <c r="C351" s="19"/>
      <c r="D351" s="19"/>
      <c r="E351" s="19"/>
      <c r="F351" s="19"/>
      <c r="G351" s="19"/>
      <c r="H351" s="19"/>
      <c r="I351" s="19"/>
      <c r="J351" s="19"/>
      <c r="K351" s="19"/>
      <c r="L351" s="19"/>
      <c r="M351" s="19"/>
      <c r="N351" s="19"/>
      <c r="O351" s="19"/>
    </row>
    <row r="352" spans="2:15" x14ac:dyDescent="0.2">
      <c r="B352" s="19"/>
      <c r="C352" s="19"/>
      <c r="D352" s="19"/>
      <c r="E352" s="19"/>
      <c r="F352" s="19"/>
      <c r="G352" s="19"/>
      <c r="H352" s="19"/>
      <c r="I352" s="19"/>
      <c r="J352" s="19"/>
      <c r="K352" s="19"/>
      <c r="L352" s="19"/>
      <c r="M352" s="19"/>
      <c r="N352" s="19"/>
      <c r="O352" s="19"/>
    </row>
    <row r="353" spans="2:15" x14ac:dyDescent="0.2">
      <c r="B353" s="19"/>
      <c r="C353" s="19"/>
      <c r="D353" s="19"/>
      <c r="E353" s="19"/>
      <c r="F353" s="19"/>
      <c r="G353" s="19"/>
      <c r="H353" s="19"/>
      <c r="I353" s="19"/>
      <c r="J353" s="19"/>
      <c r="K353" s="19"/>
      <c r="L353" s="19"/>
      <c r="M353" s="19"/>
      <c r="N353" s="19"/>
      <c r="O353" s="19"/>
    </row>
    <row r="354" spans="2:15" x14ac:dyDescent="0.2">
      <c r="B354" s="19"/>
      <c r="C354" s="19"/>
      <c r="D354" s="19"/>
      <c r="E354" s="19"/>
      <c r="F354" s="19"/>
      <c r="G354" s="19"/>
      <c r="H354" s="19"/>
      <c r="I354" s="19"/>
      <c r="J354" s="19"/>
      <c r="K354" s="19"/>
      <c r="L354" s="19"/>
      <c r="M354" s="19"/>
      <c r="N354" s="19"/>
      <c r="O354" s="19"/>
    </row>
    <row r="355" spans="2:15" x14ac:dyDescent="0.2">
      <c r="B355" s="19"/>
      <c r="C355" s="19"/>
      <c r="D355" s="19"/>
      <c r="E355" s="19"/>
      <c r="F355" s="19"/>
      <c r="G355" s="19"/>
      <c r="H355" s="19"/>
      <c r="I355" s="19"/>
      <c r="J355" s="19"/>
      <c r="K355" s="19"/>
      <c r="L355" s="19"/>
      <c r="M355" s="19"/>
      <c r="N355" s="19"/>
      <c r="O355" s="19"/>
    </row>
    <row r="356" spans="2:15" x14ac:dyDescent="0.2">
      <c r="B356" s="19"/>
      <c r="C356" s="19"/>
      <c r="D356" s="19"/>
      <c r="E356" s="19"/>
      <c r="F356" s="19"/>
      <c r="G356" s="19"/>
      <c r="H356" s="19"/>
      <c r="I356" s="19"/>
      <c r="J356" s="19"/>
      <c r="K356" s="19"/>
      <c r="L356" s="19"/>
      <c r="M356" s="19"/>
      <c r="N356" s="19"/>
      <c r="O356" s="19"/>
    </row>
    <row r="357" spans="2:15" x14ac:dyDescent="0.2">
      <c r="B357" s="19"/>
      <c r="C357" s="19"/>
      <c r="D357" s="19"/>
      <c r="E357" s="19"/>
      <c r="F357" s="19"/>
      <c r="G357" s="19"/>
      <c r="H357" s="19"/>
      <c r="I357" s="19"/>
      <c r="J357" s="19"/>
      <c r="K357" s="19"/>
      <c r="L357" s="19"/>
      <c r="M357" s="19"/>
      <c r="N357" s="19"/>
      <c r="O357" s="19"/>
    </row>
    <row r="358" spans="2:15" x14ac:dyDescent="0.2">
      <c r="B358" s="19"/>
      <c r="C358" s="19"/>
      <c r="D358" s="19"/>
      <c r="E358" s="19"/>
      <c r="F358" s="19"/>
      <c r="G358" s="19"/>
      <c r="H358" s="19"/>
      <c r="I358" s="19"/>
      <c r="J358" s="19"/>
      <c r="K358" s="19"/>
      <c r="L358" s="19"/>
      <c r="M358" s="19"/>
      <c r="N358" s="19"/>
      <c r="O358" s="19"/>
    </row>
    <row r="359" spans="2:15" x14ac:dyDescent="0.2">
      <c r="B359" s="19"/>
      <c r="C359" s="19"/>
      <c r="D359" s="19"/>
      <c r="E359" s="19"/>
      <c r="F359" s="19"/>
      <c r="G359" s="19"/>
      <c r="H359" s="19"/>
      <c r="I359" s="19"/>
      <c r="J359" s="19"/>
      <c r="K359" s="19"/>
      <c r="L359" s="19"/>
      <c r="M359" s="19"/>
      <c r="N359" s="19"/>
      <c r="O359" s="19"/>
    </row>
    <row r="360" spans="2:15" x14ac:dyDescent="0.2">
      <c r="B360" s="19"/>
      <c r="C360" s="19"/>
      <c r="D360" s="19"/>
      <c r="E360" s="19"/>
      <c r="F360" s="19"/>
      <c r="G360" s="19"/>
      <c r="H360" s="19"/>
      <c r="I360" s="19"/>
      <c r="J360" s="19"/>
      <c r="K360" s="19"/>
      <c r="L360" s="19"/>
      <c r="M360" s="19"/>
      <c r="N360" s="19"/>
      <c r="O360" s="19"/>
    </row>
    <row r="361" spans="2:15" x14ac:dyDescent="0.2">
      <c r="B361" s="19"/>
      <c r="C361" s="19"/>
      <c r="D361" s="19"/>
      <c r="E361" s="19"/>
      <c r="F361" s="19"/>
      <c r="G361" s="19"/>
      <c r="H361" s="19"/>
      <c r="I361" s="19"/>
      <c r="J361" s="19"/>
      <c r="K361" s="19"/>
      <c r="L361" s="19"/>
      <c r="M361" s="19"/>
      <c r="N361" s="19"/>
      <c r="O361" s="19"/>
    </row>
    <row r="362" spans="2:15" x14ac:dyDescent="0.2">
      <c r="B362" s="19"/>
      <c r="C362" s="19"/>
      <c r="D362" s="19"/>
      <c r="E362" s="19"/>
      <c r="F362" s="19"/>
      <c r="G362" s="19"/>
      <c r="H362" s="19"/>
      <c r="I362" s="19"/>
      <c r="J362" s="19"/>
      <c r="K362" s="19"/>
      <c r="L362" s="19"/>
      <c r="M362" s="19"/>
      <c r="N362" s="19"/>
      <c r="O362" s="19"/>
    </row>
    <row r="363" spans="2:15" x14ac:dyDescent="0.2">
      <c r="B363" s="19"/>
      <c r="C363" s="19"/>
      <c r="D363" s="19"/>
      <c r="E363" s="19"/>
      <c r="F363" s="19"/>
      <c r="G363" s="19"/>
      <c r="H363" s="19"/>
      <c r="I363" s="19"/>
      <c r="J363" s="19"/>
      <c r="K363" s="19"/>
      <c r="L363" s="19"/>
      <c r="M363" s="19"/>
      <c r="N363" s="19"/>
      <c r="O363" s="19"/>
    </row>
    <row r="364" spans="2:15" x14ac:dyDescent="0.2">
      <c r="B364" s="19"/>
      <c r="C364" s="19"/>
      <c r="D364" s="19"/>
      <c r="E364" s="19"/>
      <c r="F364" s="19"/>
      <c r="G364" s="19"/>
      <c r="H364" s="19"/>
      <c r="I364" s="19"/>
      <c r="J364" s="19"/>
      <c r="K364" s="19"/>
      <c r="L364" s="19"/>
      <c r="M364" s="19"/>
      <c r="N364" s="19"/>
      <c r="O364" s="19"/>
    </row>
    <row r="365" spans="2:15" x14ac:dyDescent="0.2">
      <c r="B365" s="19"/>
      <c r="C365" s="19"/>
      <c r="D365" s="19"/>
      <c r="E365" s="19"/>
      <c r="F365" s="19"/>
      <c r="G365" s="19"/>
      <c r="H365" s="19"/>
      <c r="I365" s="19"/>
      <c r="J365" s="19"/>
      <c r="K365" s="19"/>
      <c r="L365" s="19"/>
      <c r="M365" s="19"/>
      <c r="N365" s="19"/>
      <c r="O365" s="19"/>
    </row>
    <row r="366" spans="2:15" x14ac:dyDescent="0.2">
      <c r="B366" s="19"/>
      <c r="C366" s="19"/>
      <c r="D366" s="19"/>
      <c r="E366" s="19"/>
      <c r="F366" s="19"/>
      <c r="G366" s="19"/>
      <c r="H366" s="19"/>
      <c r="I366" s="19"/>
      <c r="J366" s="19"/>
      <c r="K366" s="19"/>
      <c r="L366" s="19"/>
      <c r="M366" s="19"/>
      <c r="N366" s="19"/>
      <c r="O366" s="19"/>
    </row>
    <row r="367" spans="2:15" x14ac:dyDescent="0.2">
      <c r="B367" s="19"/>
      <c r="C367" s="19"/>
      <c r="D367" s="19"/>
      <c r="E367" s="19"/>
      <c r="F367" s="19"/>
      <c r="G367" s="19"/>
      <c r="H367" s="19"/>
      <c r="I367" s="19"/>
      <c r="J367" s="19"/>
      <c r="K367" s="19"/>
      <c r="L367" s="19"/>
      <c r="M367" s="19"/>
      <c r="N367" s="19"/>
      <c r="O367" s="19"/>
    </row>
    <row r="368" spans="2:15" x14ac:dyDescent="0.2">
      <c r="B368" s="19"/>
      <c r="C368" s="19"/>
      <c r="D368" s="19"/>
      <c r="E368" s="19"/>
      <c r="F368" s="19"/>
      <c r="G368" s="19"/>
      <c r="H368" s="19"/>
      <c r="I368" s="19"/>
      <c r="J368" s="19"/>
      <c r="K368" s="19"/>
      <c r="L368" s="19"/>
      <c r="M368" s="19"/>
      <c r="N368" s="19"/>
      <c r="O368" s="19"/>
    </row>
    <row r="369" spans="2:15" x14ac:dyDescent="0.2">
      <c r="B369" s="19"/>
      <c r="C369" s="19"/>
      <c r="D369" s="19"/>
      <c r="E369" s="19"/>
      <c r="F369" s="19"/>
      <c r="G369" s="19"/>
      <c r="H369" s="19"/>
      <c r="I369" s="19"/>
      <c r="J369" s="19"/>
      <c r="K369" s="19"/>
      <c r="L369" s="19"/>
      <c r="M369" s="19"/>
      <c r="N369" s="19"/>
      <c r="O369" s="19"/>
    </row>
    <row r="370" spans="2:15" x14ac:dyDescent="0.2">
      <c r="B370" s="19"/>
      <c r="C370" s="19"/>
      <c r="D370" s="19"/>
      <c r="E370" s="19"/>
      <c r="F370" s="19"/>
      <c r="G370" s="19"/>
      <c r="H370" s="19"/>
      <c r="I370" s="19"/>
      <c r="J370" s="19"/>
      <c r="K370" s="19"/>
      <c r="L370" s="19"/>
      <c r="M370" s="19"/>
      <c r="N370" s="19"/>
      <c r="O370" s="19"/>
    </row>
    <row r="371" spans="2:15" x14ac:dyDescent="0.2">
      <c r="B371" s="19"/>
      <c r="C371" s="19"/>
      <c r="D371" s="19"/>
      <c r="E371" s="19"/>
      <c r="F371" s="19"/>
      <c r="G371" s="19"/>
      <c r="H371" s="19"/>
      <c r="I371" s="19"/>
      <c r="J371" s="19"/>
      <c r="K371" s="19"/>
      <c r="L371" s="19"/>
      <c r="M371" s="19"/>
      <c r="N371" s="19"/>
      <c r="O371" s="19"/>
    </row>
    <row r="372" spans="2:15" x14ac:dyDescent="0.2">
      <c r="B372" s="19"/>
      <c r="C372" s="19"/>
      <c r="D372" s="19"/>
      <c r="E372" s="19"/>
      <c r="F372" s="19"/>
      <c r="G372" s="19"/>
      <c r="H372" s="19"/>
      <c r="I372" s="19"/>
      <c r="J372" s="19"/>
      <c r="K372" s="19"/>
      <c r="L372" s="19"/>
      <c r="M372" s="19"/>
      <c r="N372" s="19"/>
      <c r="O372" s="19"/>
    </row>
    <row r="373" spans="2:15" x14ac:dyDescent="0.2">
      <c r="B373" s="19"/>
      <c r="C373" s="19"/>
      <c r="D373" s="19"/>
      <c r="E373" s="19"/>
      <c r="F373" s="19"/>
      <c r="G373" s="19"/>
      <c r="H373" s="19"/>
      <c r="I373" s="19"/>
      <c r="J373" s="19"/>
      <c r="K373" s="19"/>
      <c r="L373" s="19"/>
      <c r="M373" s="19"/>
      <c r="N373" s="19"/>
      <c r="O373" s="19"/>
    </row>
    <row r="374" spans="2:15" x14ac:dyDescent="0.2">
      <c r="B374" s="19"/>
      <c r="C374" s="19"/>
      <c r="D374" s="19"/>
      <c r="E374" s="19"/>
      <c r="F374" s="19"/>
      <c r="G374" s="19"/>
      <c r="H374" s="19"/>
      <c r="I374" s="19"/>
      <c r="J374" s="19"/>
      <c r="K374" s="19"/>
      <c r="L374" s="19"/>
      <c r="M374" s="19"/>
      <c r="N374" s="19"/>
      <c r="O374" s="19"/>
    </row>
    <row r="375" spans="2:15" x14ac:dyDescent="0.2">
      <c r="B375" s="19"/>
      <c r="C375" s="19"/>
      <c r="D375" s="19"/>
      <c r="E375" s="19"/>
      <c r="F375" s="19"/>
      <c r="G375" s="19"/>
      <c r="H375" s="19"/>
      <c r="I375" s="19"/>
      <c r="J375" s="19"/>
      <c r="K375" s="19"/>
      <c r="L375" s="19"/>
      <c r="M375" s="19"/>
      <c r="N375" s="19"/>
      <c r="O375" s="19"/>
    </row>
    <row r="376" spans="2:15" x14ac:dyDescent="0.2">
      <c r="B376" s="19"/>
      <c r="C376" s="19"/>
      <c r="D376" s="19"/>
      <c r="E376" s="19"/>
      <c r="F376" s="19"/>
      <c r="G376" s="19"/>
      <c r="H376" s="19"/>
      <c r="I376" s="19"/>
      <c r="J376" s="19"/>
      <c r="K376" s="19"/>
      <c r="L376" s="19"/>
      <c r="M376" s="19"/>
      <c r="N376" s="19"/>
      <c r="O376" s="19"/>
    </row>
    <row r="377" spans="2:15" x14ac:dyDescent="0.2">
      <c r="B377" s="19"/>
      <c r="C377" s="19"/>
      <c r="D377" s="19"/>
      <c r="E377" s="19"/>
      <c r="F377" s="19"/>
      <c r="G377" s="19"/>
      <c r="H377" s="19"/>
      <c r="I377" s="19"/>
      <c r="J377" s="19"/>
      <c r="K377" s="19"/>
      <c r="L377" s="19"/>
      <c r="M377" s="19"/>
      <c r="N377" s="19"/>
      <c r="O377" s="19"/>
    </row>
    <row r="378" spans="2:15" x14ac:dyDescent="0.2">
      <c r="B378" s="19"/>
      <c r="C378" s="19"/>
      <c r="D378" s="19"/>
      <c r="E378" s="19"/>
      <c r="F378" s="19"/>
      <c r="G378" s="19"/>
      <c r="H378" s="19"/>
      <c r="I378" s="19"/>
      <c r="J378" s="19"/>
      <c r="K378" s="19"/>
      <c r="L378" s="19"/>
      <c r="M378" s="19"/>
      <c r="N378" s="19"/>
      <c r="O378" s="19"/>
    </row>
    <row r="379" spans="2:15" x14ac:dyDescent="0.2">
      <c r="B379" s="19"/>
      <c r="C379" s="19"/>
      <c r="D379" s="19"/>
      <c r="E379" s="19"/>
      <c r="F379" s="19"/>
      <c r="G379" s="19"/>
      <c r="H379" s="19"/>
      <c r="I379" s="19"/>
      <c r="J379" s="19"/>
      <c r="K379" s="19"/>
      <c r="L379" s="19"/>
      <c r="M379" s="19"/>
      <c r="N379" s="19"/>
      <c r="O379" s="19"/>
    </row>
    <row r="380" spans="2:15" x14ac:dyDescent="0.2">
      <c r="B380" s="19"/>
      <c r="C380" s="19"/>
      <c r="D380" s="19"/>
      <c r="E380" s="19"/>
      <c r="F380" s="19"/>
      <c r="G380" s="19"/>
      <c r="H380" s="19"/>
      <c r="I380" s="19"/>
      <c r="J380" s="19"/>
      <c r="K380" s="19"/>
      <c r="L380" s="19"/>
      <c r="M380" s="19"/>
      <c r="N380" s="19"/>
      <c r="O380" s="19"/>
    </row>
    <row r="381" spans="2:15" x14ac:dyDescent="0.2">
      <c r="B381" s="19"/>
      <c r="C381" s="19"/>
      <c r="D381" s="19"/>
      <c r="E381" s="19"/>
      <c r="F381" s="19"/>
      <c r="G381" s="19"/>
      <c r="H381" s="19"/>
      <c r="I381" s="19"/>
      <c r="J381" s="19"/>
      <c r="K381" s="19"/>
      <c r="L381" s="19"/>
      <c r="M381" s="19"/>
      <c r="N381" s="19"/>
      <c r="O381" s="19"/>
    </row>
    <row r="382" spans="2:15" x14ac:dyDescent="0.2">
      <c r="B382" s="19"/>
      <c r="C382" s="19"/>
      <c r="D382" s="19"/>
      <c r="E382" s="19"/>
      <c r="F382" s="19"/>
      <c r="G382" s="19"/>
      <c r="H382" s="19"/>
      <c r="I382" s="19"/>
      <c r="J382" s="19"/>
      <c r="K382" s="19"/>
      <c r="L382" s="19"/>
      <c r="M382" s="19"/>
      <c r="N382" s="19"/>
      <c r="O382" s="19"/>
    </row>
    <row r="383" spans="2:15" x14ac:dyDescent="0.2">
      <c r="B383" s="19"/>
      <c r="C383" s="19"/>
      <c r="D383" s="19"/>
      <c r="E383" s="19"/>
      <c r="F383" s="19"/>
      <c r="G383" s="19"/>
      <c r="H383" s="19"/>
      <c r="I383" s="19"/>
      <c r="J383" s="19"/>
      <c r="K383" s="19"/>
      <c r="L383" s="19"/>
      <c r="M383" s="19"/>
      <c r="N383" s="19"/>
      <c r="O383" s="19"/>
    </row>
    <row r="384" spans="2:15" x14ac:dyDescent="0.2">
      <c r="B384" s="19"/>
      <c r="C384" s="19"/>
      <c r="D384" s="19"/>
      <c r="E384" s="19"/>
      <c r="F384" s="19"/>
      <c r="G384" s="19"/>
      <c r="H384" s="19"/>
      <c r="I384" s="19"/>
      <c r="J384" s="19"/>
      <c r="K384" s="19"/>
      <c r="L384" s="19"/>
      <c r="M384" s="19"/>
      <c r="N384" s="19"/>
      <c r="O384" s="19"/>
    </row>
    <row r="385" spans="2:15" x14ac:dyDescent="0.2">
      <c r="B385" s="19"/>
      <c r="C385" s="19"/>
      <c r="D385" s="19"/>
      <c r="E385" s="19"/>
      <c r="F385" s="19"/>
      <c r="G385" s="19"/>
      <c r="H385" s="19"/>
      <c r="I385" s="19"/>
      <c r="J385" s="19"/>
      <c r="K385" s="19"/>
      <c r="L385" s="19"/>
      <c r="M385" s="19"/>
      <c r="N385" s="19"/>
      <c r="O385" s="19"/>
    </row>
    <row r="386" spans="2:15" x14ac:dyDescent="0.2">
      <c r="B386" s="19"/>
      <c r="C386" s="19"/>
      <c r="D386" s="19"/>
      <c r="E386" s="19"/>
      <c r="F386" s="19"/>
      <c r="G386" s="19"/>
      <c r="H386" s="19"/>
      <c r="I386" s="19"/>
      <c r="J386" s="19"/>
      <c r="K386" s="19"/>
      <c r="L386" s="19"/>
      <c r="M386" s="19"/>
      <c r="N386" s="19"/>
      <c r="O386" s="19"/>
    </row>
    <row r="387" spans="2:15" x14ac:dyDescent="0.2">
      <c r="B387" s="19"/>
      <c r="C387" s="19"/>
      <c r="D387" s="19"/>
      <c r="E387" s="19"/>
      <c r="F387" s="19"/>
      <c r="G387" s="19"/>
      <c r="H387" s="19"/>
      <c r="I387" s="19"/>
      <c r="J387" s="19"/>
      <c r="K387" s="19"/>
      <c r="L387" s="19"/>
      <c r="M387" s="19"/>
      <c r="N387" s="19"/>
      <c r="O387" s="19"/>
    </row>
    <row r="388" spans="2:15" x14ac:dyDescent="0.2">
      <c r="B388" s="19"/>
      <c r="C388" s="19"/>
      <c r="D388" s="19"/>
      <c r="E388" s="19"/>
      <c r="F388" s="19"/>
      <c r="G388" s="19"/>
      <c r="H388" s="19"/>
      <c r="I388" s="19"/>
      <c r="J388" s="19"/>
      <c r="K388" s="19"/>
      <c r="L388" s="19"/>
      <c r="M388" s="19"/>
      <c r="N388" s="19"/>
      <c r="O388" s="19"/>
    </row>
    <row r="389" spans="2:15" x14ac:dyDescent="0.2">
      <c r="B389" s="19"/>
      <c r="C389" s="19"/>
      <c r="D389" s="19"/>
      <c r="E389" s="19"/>
      <c r="F389" s="19"/>
      <c r="G389" s="19"/>
      <c r="H389" s="19"/>
      <c r="I389" s="19"/>
      <c r="J389" s="19"/>
      <c r="K389" s="19"/>
      <c r="L389" s="19"/>
      <c r="M389" s="19"/>
      <c r="N389" s="19"/>
      <c r="O389" s="19"/>
    </row>
    <row r="390" spans="2:15" x14ac:dyDescent="0.2">
      <c r="B390" s="19"/>
      <c r="C390" s="19"/>
      <c r="D390" s="19"/>
      <c r="E390" s="19"/>
      <c r="F390" s="19"/>
      <c r="G390" s="19"/>
      <c r="H390" s="19"/>
      <c r="I390" s="19"/>
      <c r="J390" s="19"/>
      <c r="K390" s="19"/>
      <c r="L390" s="19"/>
      <c r="M390" s="19"/>
      <c r="N390" s="19"/>
      <c r="O390" s="19"/>
    </row>
    <row r="391" spans="2:15" x14ac:dyDescent="0.2">
      <c r="B391" s="19"/>
      <c r="C391" s="19"/>
      <c r="D391" s="19"/>
      <c r="E391" s="19"/>
      <c r="F391" s="19"/>
      <c r="G391" s="19"/>
      <c r="H391" s="19"/>
      <c r="I391" s="19"/>
      <c r="J391" s="19"/>
      <c r="K391" s="19"/>
      <c r="L391" s="19"/>
      <c r="M391" s="19"/>
      <c r="N391" s="19"/>
      <c r="O391" s="19"/>
    </row>
    <row r="392" spans="2:15" x14ac:dyDescent="0.2">
      <c r="B392" s="19"/>
      <c r="C392" s="19"/>
      <c r="D392" s="19"/>
      <c r="E392" s="19"/>
      <c r="F392" s="19"/>
      <c r="G392" s="19"/>
      <c r="H392" s="19"/>
      <c r="I392" s="19"/>
      <c r="J392" s="19"/>
      <c r="K392" s="19"/>
      <c r="L392" s="19"/>
      <c r="M392" s="19"/>
      <c r="N392" s="19"/>
      <c r="O392" s="19"/>
    </row>
    <row r="393" spans="2:15" x14ac:dyDescent="0.2">
      <c r="B393" s="19"/>
      <c r="C393" s="19"/>
      <c r="D393" s="19"/>
      <c r="E393" s="19"/>
      <c r="F393" s="19"/>
      <c r="G393" s="19"/>
      <c r="H393" s="19"/>
      <c r="I393" s="19"/>
      <c r="J393" s="19"/>
      <c r="K393" s="19"/>
      <c r="L393" s="19"/>
      <c r="M393" s="19"/>
      <c r="N393" s="19"/>
      <c r="O393" s="19"/>
    </row>
    <row r="394" spans="2:15" x14ac:dyDescent="0.2">
      <c r="B394" s="19"/>
      <c r="C394" s="19"/>
      <c r="D394" s="19"/>
      <c r="E394" s="19"/>
      <c r="F394" s="19"/>
      <c r="G394" s="19"/>
      <c r="H394" s="19"/>
      <c r="I394" s="19"/>
      <c r="J394" s="19"/>
      <c r="K394" s="19"/>
      <c r="L394" s="19"/>
      <c r="M394" s="19"/>
      <c r="N394" s="19"/>
      <c r="O394" s="19"/>
    </row>
    <row r="395" spans="2:15" x14ac:dyDescent="0.2">
      <c r="B395" s="19"/>
      <c r="C395" s="19"/>
      <c r="D395" s="19"/>
      <c r="E395" s="19"/>
      <c r="F395" s="19"/>
      <c r="G395" s="19"/>
      <c r="H395" s="19"/>
      <c r="I395" s="19"/>
      <c r="J395" s="19"/>
      <c r="K395" s="19"/>
      <c r="L395" s="19"/>
      <c r="M395" s="19"/>
      <c r="N395" s="19"/>
      <c r="O395" s="19"/>
    </row>
    <row r="396" spans="2:15" x14ac:dyDescent="0.2">
      <c r="B396" s="19"/>
      <c r="C396" s="19"/>
      <c r="D396" s="19"/>
      <c r="E396" s="19"/>
      <c r="F396" s="19"/>
      <c r="G396" s="19"/>
      <c r="H396" s="19"/>
      <c r="I396" s="19"/>
      <c r="J396" s="19"/>
      <c r="K396" s="19"/>
      <c r="L396" s="19"/>
      <c r="M396" s="19"/>
      <c r="N396" s="19"/>
      <c r="O396" s="19"/>
    </row>
    <row r="397" spans="2:15" x14ac:dyDescent="0.2">
      <c r="B397" s="19"/>
      <c r="C397" s="19"/>
      <c r="D397" s="19"/>
      <c r="E397" s="19"/>
      <c r="F397" s="19"/>
      <c r="G397" s="19"/>
      <c r="H397" s="19"/>
      <c r="I397" s="19"/>
      <c r="J397" s="19"/>
      <c r="K397" s="19"/>
      <c r="L397" s="19"/>
      <c r="M397" s="19"/>
      <c r="N397" s="19"/>
      <c r="O397" s="19"/>
    </row>
    <row r="398" spans="2:15" x14ac:dyDescent="0.2">
      <c r="B398" s="19"/>
      <c r="C398" s="19"/>
      <c r="D398" s="19"/>
      <c r="E398" s="19"/>
      <c r="F398" s="19"/>
      <c r="G398" s="19"/>
      <c r="H398" s="19"/>
      <c r="I398" s="19"/>
      <c r="J398" s="19"/>
      <c r="K398" s="19"/>
      <c r="L398" s="19"/>
      <c r="M398" s="19"/>
      <c r="N398" s="19"/>
      <c r="O398" s="19"/>
    </row>
    <row r="399" spans="2:15" x14ac:dyDescent="0.2">
      <c r="B399" s="19"/>
      <c r="C399" s="19"/>
      <c r="D399" s="19"/>
      <c r="E399" s="19"/>
      <c r="F399" s="19"/>
      <c r="G399" s="19"/>
      <c r="H399" s="19"/>
      <c r="I399" s="19"/>
      <c r="J399" s="19"/>
      <c r="K399" s="19"/>
      <c r="L399" s="19"/>
      <c r="M399" s="19"/>
      <c r="N399" s="19"/>
      <c r="O399" s="19"/>
    </row>
    <row r="400" spans="2:15" x14ac:dyDescent="0.2">
      <c r="B400" s="19"/>
      <c r="C400" s="19"/>
      <c r="D400" s="19"/>
      <c r="E400" s="19"/>
      <c r="F400" s="19"/>
      <c r="G400" s="19"/>
      <c r="H400" s="19"/>
      <c r="I400" s="19"/>
      <c r="J400" s="19"/>
      <c r="K400" s="19"/>
      <c r="L400" s="19"/>
      <c r="M400" s="19"/>
      <c r="N400" s="19"/>
      <c r="O400" s="19"/>
    </row>
    <row r="401" spans="2:15" x14ac:dyDescent="0.2">
      <c r="B401" s="19"/>
      <c r="C401" s="19"/>
      <c r="D401" s="19"/>
      <c r="E401" s="19"/>
      <c r="F401" s="19"/>
      <c r="G401" s="19"/>
      <c r="H401" s="19"/>
      <c r="I401" s="19"/>
      <c r="J401" s="19"/>
      <c r="K401" s="19"/>
      <c r="L401" s="19"/>
      <c r="M401" s="19"/>
      <c r="N401" s="19"/>
      <c r="O401" s="19"/>
    </row>
    <row r="402" spans="2:15" x14ac:dyDescent="0.2">
      <c r="B402" s="19"/>
      <c r="C402" s="19"/>
      <c r="D402" s="19"/>
      <c r="E402" s="19"/>
      <c r="F402" s="19"/>
      <c r="G402" s="19"/>
      <c r="H402" s="19"/>
      <c r="I402" s="19"/>
      <c r="J402" s="19"/>
      <c r="K402" s="19"/>
      <c r="L402" s="19"/>
      <c r="M402" s="19"/>
      <c r="N402" s="19"/>
      <c r="O402" s="19"/>
    </row>
    <row r="403" spans="2:15" x14ac:dyDescent="0.2">
      <c r="B403" s="19"/>
      <c r="C403" s="19"/>
      <c r="D403" s="19"/>
      <c r="E403" s="19"/>
      <c r="F403" s="19"/>
      <c r="G403" s="19"/>
      <c r="H403" s="19"/>
      <c r="I403" s="19"/>
      <c r="J403" s="19"/>
      <c r="K403" s="19"/>
      <c r="L403" s="19"/>
      <c r="M403" s="19"/>
      <c r="N403" s="19"/>
      <c r="O403" s="19"/>
    </row>
    <row r="404" spans="2:15" x14ac:dyDescent="0.2">
      <c r="B404" s="19"/>
      <c r="C404" s="19"/>
      <c r="D404" s="19"/>
      <c r="E404" s="19"/>
      <c r="F404" s="19"/>
      <c r="G404" s="19"/>
      <c r="H404" s="19"/>
      <c r="I404" s="19"/>
      <c r="J404" s="19"/>
      <c r="K404" s="19"/>
      <c r="L404" s="19"/>
      <c r="M404" s="19"/>
      <c r="N404" s="19"/>
      <c r="O404" s="19"/>
    </row>
    <row r="405" spans="2:15" x14ac:dyDescent="0.2">
      <c r="B405" s="19"/>
      <c r="C405" s="19"/>
      <c r="D405" s="19"/>
      <c r="E405" s="19"/>
      <c r="F405" s="19"/>
      <c r="G405" s="19"/>
      <c r="H405" s="19"/>
      <c r="I405" s="19"/>
      <c r="J405" s="19"/>
      <c r="K405" s="19"/>
      <c r="L405" s="19"/>
      <c r="M405" s="19"/>
      <c r="N405" s="19"/>
      <c r="O405" s="19"/>
    </row>
    <row r="406" spans="2:15" x14ac:dyDescent="0.2">
      <c r="B406" s="19"/>
      <c r="C406" s="19"/>
      <c r="D406" s="19"/>
      <c r="E406" s="19"/>
      <c r="F406" s="19"/>
      <c r="G406" s="19"/>
      <c r="H406" s="19"/>
      <c r="I406" s="19"/>
      <c r="J406" s="19"/>
      <c r="K406" s="19"/>
      <c r="L406" s="19"/>
      <c r="M406" s="19"/>
      <c r="N406" s="19"/>
      <c r="O406" s="19"/>
    </row>
    <row r="407" spans="2:15" x14ac:dyDescent="0.2">
      <c r="B407" s="19"/>
      <c r="C407" s="19"/>
      <c r="D407" s="19"/>
      <c r="E407" s="19"/>
      <c r="F407" s="19"/>
      <c r="G407" s="19"/>
      <c r="H407" s="19"/>
      <c r="I407" s="19"/>
      <c r="J407" s="19"/>
      <c r="K407" s="19"/>
      <c r="L407" s="19"/>
      <c r="M407" s="19"/>
      <c r="N407" s="19"/>
      <c r="O407" s="19"/>
    </row>
    <row r="408" spans="2:15" x14ac:dyDescent="0.2">
      <c r="B408" s="19"/>
      <c r="C408" s="19"/>
      <c r="D408" s="19"/>
      <c r="E408" s="19"/>
      <c r="F408" s="19"/>
      <c r="G408" s="19"/>
      <c r="H408" s="19"/>
      <c r="I408" s="19"/>
      <c r="J408" s="19"/>
      <c r="K408" s="19"/>
      <c r="L408" s="19"/>
      <c r="M408" s="19"/>
      <c r="N408" s="19"/>
      <c r="O408" s="19"/>
    </row>
    <row r="409" spans="2:15" x14ac:dyDescent="0.2">
      <c r="B409" s="19"/>
      <c r="C409" s="19"/>
      <c r="D409" s="19"/>
      <c r="E409" s="19"/>
      <c r="F409" s="19"/>
      <c r="G409" s="19"/>
      <c r="H409" s="19"/>
      <c r="I409" s="19"/>
      <c r="J409" s="19"/>
      <c r="K409" s="19"/>
      <c r="L409" s="19"/>
      <c r="M409" s="19"/>
      <c r="N409" s="19"/>
      <c r="O409" s="19"/>
    </row>
    <row r="410" spans="2:15" x14ac:dyDescent="0.2">
      <c r="B410" s="19"/>
      <c r="C410" s="19"/>
      <c r="D410" s="19"/>
      <c r="E410" s="19"/>
      <c r="F410" s="19"/>
      <c r="G410" s="19"/>
      <c r="H410" s="19"/>
      <c r="I410" s="19"/>
      <c r="J410" s="19"/>
      <c r="K410" s="19"/>
      <c r="L410" s="19"/>
      <c r="M410" s="19"/>
      <c r="N410" s="19"/>
      <c r="O410" s="19"/>
    </row>
    <row r="411" spans="2:15" x14ac:dyDescent="0.2">
      <c r="B411" s="19"/>
      <c r="C411" s="19"/>
      <c r="D411" s="19"/>
      <c r="E411" s="19"/>
      <c r="F411" s="19"/>
      <c r="G411" s="19"/>
      <c r="H411" s="19"/>
      <c r="I411" s="19"/>
      <c r="J411" s="19"/>
      <c r="K411" s="19"/>
      <c r="L411" s="19"/>
      <c r="M411" s="19"/>
      <c r="N411" s="19"/>
      <c r="O411" s="19"/>
    </row>
    <row r="412" spans="2:15" x14ac:dyDescent="0.2">
      <c r="B412" s="19"/>
      <c r="C412" s="19"/>
      <c r="D412" s="19"/>
      <c r="E412" s="19"/>
      <c r="F412" s="19"/>
      <c r="G412" s="19"/>
      <c r="H412" s="19"/>
      <c r="I412" s="19"/>
      <c r="J412" s="19"/>
      <c r="K412" s="19"/>
      <c r="L412" s="19"/>
      <c r="M412" s="19"/>
      <c r="N412" s="19"/>
      <c r="O412" s="19"/>
    </row>
    <row r="413" spans="2:15" x14ac:dyDescent="0.2">
      <c r="B413" s="19"/>
      <c r="C413" s="19"/>
      <c r="D413" s="19"/>
      <c r="E413" s="19"/>
      <c r="F413" s="19"/>
      <c r="G413" s="19"/>
      <c r="H413" s="19"/>
      <c r="I413" s="19"/>
      <c r="J413" s="19"/>
      <c r="K413" s="19"/>
      <c r="L413" s="19"/>
      <c r="M413" s="19"/>
      <c r="N413" s="19"/>
      <c r="O413" s="19"/>
    </row>
    <row r="414" spans="2:15" x14ac:dyDescent="0.2">
      <c r="B414" s="19"/>
      <c r="C414" s="19"/>
      <c r="D414" s="19"/>
      <c r="E414" s="19"/>
      <c r="F414" s="19"/>
      <c r="G414" s="19"/>
      <c r="H414" s="19"/>
      <c r="I414" s="19"/>
      <c r="J414" s="19"/>
      <c r="K414" s="19"/>
      <c r="L414" s="19"/>
      <c r="M414" s="19"/>
      <c r="N414" s="19"/>
      <c r="O414" s="19"/>
    </row>
    <row r="415" spans="2:15" x14ac:dyDescent="0.2">
      <c r="B415" s="19"/>
      <c r="C415" s="19"/>
      <c r="D415" s="19"/>
      <c r="E415" s="19"/>
      <c r="F415" s="19"/>
      <c r="G415" s="19"/>
      <c r="H415" s="19"/>
      <c r="I415" s="19"/>
      <c r="J415" s="19"/>
      <c r="K415" s="19"/>
      <c r="L415" s="19"/>
      <c r="M415" s="19"/>
      <c r="N415" s="19"/>
      <c r="O415" s="19"/>
    </row>
    <row r="416" spans="2:15" x14ac:dyDescent="0.2">
      <c r="B416" s="19"/>
      <c r="C416" s="19"/>
      <c r="D416" s="19"/>
      <c r="E416" s="19"/>
      <c r="F416" s="19"/>
      <c r="G416" s="19"/>
      <c r="H416" s="19"/>
      <c r="I416" s="19"/>
      <c r="J416" s="19"/>
      <c r="K416" s="19"/>
      <c r="L416" s="19"/>
      <c r="M416" s="19"/>
      <c r="N416" s="19"/>
      <c r="O416" s="19"/>
    </row>
    <row r="417" spans="2:15" x14ac:dyDescent="0.2">
      <c r="B417" s="19"/>
      <c r="C417" s="19"/>
      <c r="D417" s="19"/>
      <c r="E417" s="19"/>
      <c r="F417" s="19"/>
      <c r="G417" s="19"/>
      <c r="H417" s="19"/>
      <c r="I417" s="19"/>
      <c r="J417" s="19"/>
      <c r="K417" s="19"/>
      <c r="L417" s="19"/>
      <c r="M417" s="19"/>
      <c r="N417" s="19"/>
      <c r="O417" s="19"/>
    </row>
    <row r="418" spans="2:15" x14ac:dyDescent="0.2">
      <c r="B418" s="19"/>
      <c r="C418" s="19"/>
      <c r="D418" s="19"/>
      <c r="E418" s="19"/>
      <c r="F418" s="19"/>
      <c r="G418" s="19"/>
      <c r="H418" s="19"/>
      <c r="I418" s="19"/>
      <c r="J418" s="19"/>
      <c r="K418" s="19"/>
      <c r="L418" s="19"/>
      <c r="M418" s="19"/>
      <c r="N418" s="19"/>
      <c r="O418" s="19"/>
    </row>
    <row r="419" spans="2:15" x14ac:dyDescent="0.2">
      <c r="B419" s="19"/>
      <c r="C419" s="19"/>
      <c r="D419" s="19"/>
      <c r="E419" s="19"/>
      <c r="F419" s="19"/>
      <c r="G419" s="19"/>
      <c r="H419" s="19"/>
      <c r="I419" s="19"/>
      <c r="J419" s="19"/>
      <c r="K419" s="19"/>
      <c r="L419" s="19"/>
      <c r="M419" s="19"/>
      <c r="N419" s="19"/>
      <c r="O419" s="19"/>
    </row>
    <row r="420" spans="2:15" x14ac:dyDescent="0.2">
      <c r="B420" s="19"/>
      <c r="C420" s="19"/>
      <c r="D420" s="19"/>
      <c r="E420" s="19"/>
      <c r="F420" s="19"/>
      <c r="G420" s="19"/>
      <c r="H420" s="19"/>
      <c r="I420" s="19"/>
      <c r="J420" s="19"/>
      <c r="K420" s="19"/>
      <c r="L420" s="19"/>
      <c r="M420" s="19"/>
      <c r="N420" s="19"/>
      <c r="O420" s="19"/>
    </row>
    <row r="421" spans="2:15" x14ac:dyDescent="0.2">
      <c r="B421" s="19"/>
      <c r="C421" s="19"/>
      <c r="D421" s="19"/>
      <c r="E421" s="19"/>
      <c r="F421" s="19"/>
      <c r="G421" s="19"/>
      <c r="H421" s="19"/>
      <c r="I421" s="19"/>
      <c r="J421" s="19"/>
      <c r="K421" s="19"/>
      <c r="L421" s="19"/>
      <c r="M421" s="19"/>
      <c r="N421" s="19"/>
      <c r="O421" s="19"/>
    </row>
    <row r="422" spans="2:15" x14ac:dyDescent="0.2">
      <c r="B422" s="19"/>
      <c r="C422" s="19"/>
      <c r="D422" s="19"/>
      <c r="E422" s="19"/>
      <c r="F422" s="19"/>
      <c r="G422" s="19"/>
      <c r="H422" s="19"/>
      <c r="I422" s="19"/>
      <c r="J422" s="19"/>
      <c r="K422" s="19"/>
      <c r="L422" s="19"/>
      <c r="M422" s="19"/>
      <c r="N422" s="19"/>
      <c r="O422" s="19"/>
    </row>
    <row r="423" spans="2:15" x14ac:dyDescent="0.2">
      <c r="B423" s="19"/>
      <c r="C423" s="19"/>
      <c r="D423" s="19"/>
      <c r="E423" s="19"/>
      <c r="F423" s="19"/>
      <c r="G423" s="19"/>
      <c r="H423" s="19"/>
      <c r="I423" s="19"/>
      <c r="J423" s="19"/>
      <c r="K423" s="19"/>
      <c r="L423" s="19"/>
      <c r="M423" s="19"/>
      <c r="N423" s="19"/>
      <c r="O423" s="19"/>
    </row>
    <row r="424" spans="2:15" x14ac:dyDescent="0.2">
      <c r="B424" s="19"/>
      <c r="C424" s="19"/>
      <c r="D424" s="19"/>
      <c r="E424" s="19"/>
      <c r="F424" s="19"/>
      <c r="G424" s="19"/>
      <c r="H424" s="19"/>
      <c r="I424" s="19"/>
      <c r="J424" s="19"/>
      <c r="K424" s="19"/>
      <c r="L424" s="19"/>
      <c r="M424" s="19"/>
      <c r="N424" s="19"/>
      <c r="O424" s="19"/>
    </row>
    <row r="425" spans="2:15" x14ac:dyDescent="0.2">
      <c r="B425" s="19"/>
      <c r="C425" s="19"/>
      <c r="D425" s="19"/>
      <c r="E425" s="19"/>
      <c r="F425" s="19"/>
      <c r="G425" s="19"/>
      <c r="H425" s="19"/>
      <c r="I425" s="19"/>
      <c r="J425" s="19"/>
      <c r="K425" s="19"/>
      <c r="L425" s="19"/>
      <c r="M425" s="19"/>
      <c r="N425" s="19"/>
      <c r="O425" s="19"/>
    </row>
    <row r="426" spans="2:15" x14ac:dyDescent="0.2">
      <c r="B426" s="19"/>
      <c r="C426" s="19"/>
      <c r="D426" s="19"/>
      <c r="E426" s="19"/>
      <c r="F426" s="19"/>
      <c r="G426" s="19"/>
      <c r="H426" s="19"/>
      <c r="I426" s="19"/>
      <c r="J426" s="19"/>
      <c r="K426" s="19"/>
      <c r="L426" s="19"/>
      <c r="M426" s="19"/>
      <c r="N426" s="19"/>
      <c r="O426" s="19"/>
    </row>
    <row r="427" spans="2:15" x14ac:dyDescent="0.2">
      <c r="B427" s="19"/>
      <c r="C427" s="19"/>
      <c r="D427" s="19"/>
      <c r="E427" s="19"/>
      <c r="F427" s="19"/>
      <c r="G427" s="19"/>
      <c r="H427" s="19"/>
      <c r="I427" s="19"/>
      <c r="J427" s="19"/>
      <c r="K427" s="19"/>
      <c r="L427" s="19"/>
      <c r="M427" s="19"/>
      <c r="N427" s="19"/>
      <c r="O427" s="19"/>
    </row>
    <row r="428" spans="2:15" x14ac:dyDescent="0.2">
      <c r="B428" s="19"/>
      <c r="C428" s="19"/>
      <c r="D428" s="19"/>
      <c r="E428" s="19"/>
      <c r="F428" s="19"/>
      <c r="G428" s="19"/>
      <c r="H428" s="19"/>
      <c r="I428" s="19"/>
      <c r="J428" s="19"/>
      <c r="K428" s="19"/>
      <c r="L428" s="19"/>
      <c r="M428" s="19"/>
      <c r="N428" s="19"/>
      <c r="O428" s="19"/>
    </row>
    <row r="429" spans="2:15" x14ac:dyDescent="0.2">
      <c r="B429" s="19"/>
      <c r="C429" s="19"/>
      <c r="D429" s="19"/>
      <c r="E429" s="19"/>
      <c r="F429" s="19"/>
      <c r="G429" s="19"/>
      <c r="H429" s="19"/>
      <c r="I429" s="19"/>
      <c r="J429" s="19"/>
      <c r="K429" s="19"/>
      <c r="L429" s="19"/>
      <c r="M429" s="19"/>
      <c r="N429" s="19"/>
      <c r="O429" s="19"/>
    </row>
    <row r="430" spans="2:15" x14ac:dyDescent="0.2">
      <c r="B430" s="19"/>
      <c r="C430" s="19"/>
      <c r="D430" s="19"/>
      <c r="E430" s="19"/>
      <c r="F430" s="19"/>
      <c r="G430" s="19"/>
      <c r="H430" s="19"/>
      <c r="I430" s="19"/>
      <c r="J430" s="19"/>
      <c r="K430" s="19"/>
      <c r="L430" s="19"/>
      <c r="M430" s="19"/>
      <c r="N430" s="19"/>
      <c r="O430" s="19"/>
    </row>
    <row r="431" spans="2:15" x14ac:dyDescent="0.2">
      <c r="B431" s="19"/>
      <c r="C431" s="19"/>
      <c r="D431" s="19"/>
      <c r="E431" s="19"/>
      <c r="F431" s="19"/>
      <c r="G431" s="19"/>
      <c r="H431" s="19"/>
      <c r="I431" s="19"/>
      <c r="J431" s="19"/>
      <c r="K431" s="19"/>
      <c r="L431" s="19"/>
      <c r="M431" s="19"/>
      <c r="N431" s="19"/>
      <c r="O431" s="19"/>
    </row>
    <row r="432" spans="2:15" x14ac:dyDescent="0.2">
      <c r="B432" s="19"/>
      <c r="C432" s="19"/>
      <c r="D432" s="19"/>
      <c r="E432" s="19"/>
      <c r="F432" s="19"/>
      <c r="G432" s="19"/>
      <c r="H432" s="19"/>
      <c r="I432" s="19"/>
      <c r="J432" s="19"/>
      <c r="K432" s="19"/>
      <c r="L432" s="19"/>
      <c r="M432" s="19"/>
      <c r="N432" s="19"/>
      <c r="O432" s="19"/>
    </row>
    <row r="433" spans="2:15" x14ac:dyDescent="0.2">
      <c r="B433" s="19"/>
      <c r="C433" s="19"/>
      <c r="D433" s="19"/>
      <c r="E433" s="19"/>
      <c r="F433" s="19"/>
      <c r="G433" s="19"/>
      <c r="H433" s="19"/>
      <c r="I433" s="19"/>
      <c r="J433" s="19"/>
      <c r="K433" s="19"/>
      <c r="L433" s="19"/>
      <c r="M433" s="19"/>
      <c r="N433" s="19"/>
      <c r="O433" s="19"/>
    </row>
    <row r="434" spans="2:15" x14ac:dyDescent="0.2">
      <c r="B434" s="19"/>
      <c r="C434" s="19"/>
      <c r="D434" s="19"/>
      <c r="E434" s="19"/>
      <c r="F434" s="19"/>
      <c r="G434" s="19"/>
      <c r="H434" s="19"/>
      <c r="I434" s="19"/>
      <c r="J434" s="19"/>
      <c r="K434" s="19"/>
      <c r="L434" s="19"/>
      <c r="M434" s="19"/>
      <c r="N434" s="19"/>
      <c r="O434" s="19"/>
    </row>
    <row r="435" spans="2:15" x14ac:dyDescent="0.2">
      <c r="B435" s="19"/>
      <c r="C435" s="19"/>
      <c r="D435" s="19"/>
      <c r="E435" s="19"/>
      <c r="F435" s="19"/>
      <c r="G435" s="19"/>
      <c r="H435" s="19"/>
      <c r="I435" s="19"/>
      <c r="J435" s="19"/>
      <c r="K435" s="19"/>
      <c r="L435" s="19"/>
      <c r="M435" s="19"/>
      <c r="N435" s="19"/>
      <c r="O435" s="19"/>
    </row>
    <row r="436" spans="2:15" x14ac:dyDescent="0.2">
      <c r="B436" s="19"/>
      <c r="C436" s="19"/>
      <c r="D436" s="19"/>
      <c r="E436" s="19"/>
      <c r="F436" s="19"/>
      <c r="G436" s="19"/>
      <c r="H436" s="19"/>
      <c r="I436" s="19"/>
      <c r="J436" s="19"/>
      <c r="K436" s="19"/>
      <c r="L436" s="19"/>
      <c r="M436" s="19"/>
      <c r="N436" s="19"/>
      <c r="O436" s="19"/>
    </row>
    <row r="437" spans="2:15" x14ac:dyDescent="0.2">
      <c r="B437" s="19"/>
      <c r="C437" s="19"/>
      <c r="D437" s="19"/>
      <c r="E437" s="19"/>
      <c r="F437" s="19"/>
      <c r="G437" s="19"/>
      <c r="H437" s="19"/>
      <c r="I437" s="19"/>
      <c r="J437" s="19"/>
      <c r="K437" s="19"/>
      <c r="L437" s="19"/>
      <c r="M437" s="19"/>
      <c r="N437" s="19"/>
      <c r="O437" s="19"/>
    </row>
    <row r="438" spans="2:15" x14ac:dyDescent="0.2">
      <c r="B438" s="19"/>
      <c r="C438" s="19"/>
      <c r="D438" s="19"/>
      <c r="E438" s="19"/>
      <c r="F438" s="19"/>
      <c r="G438" s="19"/>
      <c r="H438" s="19"/>
      <c r="I438" s="19"/>
      <c r="J438" s="19"/>
      <c r="K438" s="19"/>
      <c r="L438" s="19"/>
      <c r="M438" s="19"/>
      <c r="N438" s="19"/>
      <c r="O438" s="19"/>
    </row>
    <row r="439" spans="2:15" x14ac:dyDescent="0.2">
      <c r="B439" s="19"/>
      <c r="C439" s="19"/>
      <c r="D439" s="19"/>
      <c r="E439" s="19"/>
      <c r="F439" s="19"/>
      <c r="G439" s="19"/>
      <c r="H439" s="19"/>
      <c r="I439" s="19"/>
      <c r="J439" s="19"/>
      <c r="K439" s="19"/>
      <c r="L439" s="19"/>
      <c r="M439" s="19"/>
      <c r="N439" s="19"/>
      <c r="O439" s="19"/>
    </row>
    <row r="440" spans="2:15" x14ac:dyDescent="0.2">
      <c r="B440" s="19"/>
      <c r="C440" s="19"/>
      <c r="D440" s="19"/>
      <c r="E440" s="19"/>
      <c r="F440" s="19"/>
      <c r="G440" s="19"/>
      <c r="H440" s="19"/>
      <c r="I440" s="19"/>
      <c r="J440" s="19"/>
      <c r="K440" s="19"/>
      <c r="L440" s="19"/>
      <c r="M440" s="19"/>
      <c r="N440" s="19"/>
      <c r="O440" s="19"/>
    </row>
    <row r="441" spans="2:15" x14ac:dyDescent="0.2">
      <c r="B441" s="19"/>
      <c r="C441" s="19"/>
      <c r="D441" s="19"/>
      <c r="E441" s="19"/>
      <c r="F441" s="19"/>
      <c r="G441" s="19"/>
      <c r="H441" s="19"/>
      <c r="I441" s="19"/>
      <c r="J441" s="19"/>
      <c r="K441" s="19"/>
      <c r="L441" s="19"/>
      <c r="M441" s="19"/>
      <c r="N441" s="19"/>
      <c r="O441" s="19"/>
    </row>
    <row r="442" spans="2:15" x14ac:dyDescent="0.2">
      <c r="B442" s="19"/>
      <c r="C442" s="19"/>
      <c r="D442" s="19"/>
      <c r="E442" s="19"/>
      <c r="F442" s="19"/>
      <c r="G442" s="19"/>
      <c r="H442" s="19"/>
      <c r="I442" s="19"/>
      <c r="J442" s="19"/>
      <c r="K442" s="19"/>
      <c r="L442" s="19"/>
      <c r="M442" s="19"/>
      <c r="N442" s="19"/>
      <c r="O442" s="19"/>
    </row>
    <row r="443" spans="2:15" x14ac:dyDescent="0.2">
      <c r="B443" s="19"/>
      <c r="C443" s="19"/>
      <c r="D443" s="19"/>
      <c r="E443" s="19"/>
      <c r="F443" s="19"/>
      <c r="G443" s="19"/>
      <c r="H443" s="19"/>
      <c r="I443" s="19"/>
      <c r="J443" s="19"/>
      <c r="K443" s="19"/>
      <c r="L443" s="19"/>
      <c r="M443" s="19"/>
      <c r="N443" s="19"/>
      <c r="O443" s="19"/>
    </row>
    <row r="444" spans="2:15" x14ac:dyDescent="0.2">
      <c r="B444" s="19"/>
      <c r="C444" s="19"/>
      <c r="D444" s="19"/>
      <c r="E444" s="19"/>
      <c r="F444" s="19"/>
      <c r="G444" s="19"/>
      <c r="H444" s="19"/>
      <c r="I444" s="19"/>
      <c r="J444" s="19"/>
      <c r="K444" s="19"/>
      <c r="L444" s="19"/>
      <c r="M444" s="19"/>
      <c r="N444" s="19"/>
      <c r="O444" s="19"/>
    </row>
    <row r="445" spans="2:15" x14ac:dyDescent="0.2">
      <c r="B445" s="19"/>
      <c r="C445" s="19"/>
      <c r="D445" s="19"/>
      <c r="E445" s="19"/>
      <c r="F445" s="19"/>
      <c r="G445" s="19"/>
      <c r="H445" s="19"/>
      <c r="I445" s="19"/>
      <c r="J445" s="19"/>
      <c r="K445" s="19"/>
      <c r="L445" s="19"/>
      <c r="M445" s="19"/>
      <c r="N445" s="19"/>
      <c r="O445" s="19"/>
    </row>
    <row r="446" spans="2:15" x14ac:dyDescent="0.2">
      <c r="B446" s="19"/>
      <c r="C446" s="19"/>
      <c r="D446" s="19"/>
      <c r="E446" s="19"/>
      <c r="F446" s="19"/>
      <c r="G446" s="19"/>
      <c r="H446" s="19"/>
      <c r="I446" s="19"/>
      <c r="J446" s="19"/>
      <c r="K446" s="19"/>
      <c r="L446" s="19"/>
      <c r="M446" s="19"/>
      <c r="N446" s="19"/>
      <c r="O446" s="19"/>
    </row>
    <row r="447" spans="2:15" x14ac:dyDescent="0.2">
      <c r="B447" s="19"/>
      <c r="C447" s="19"/>
      <c r="D447" s="19"/>
      <c r="E447" s="19"/>
      <c r="F447" s="19"/>
      <c r="G447" s="19"/>
      <c r="H447" s="19"/>
      <c r="I447" s="19"/>
      <c r="J447" s="19"/>
      <c r="K447" s="19"/>
      <c r="L447" s="19"/>
      <c r="M447" s="19"/>
      <c r="N447" s="19"/>
      <c r="O447" s="19"/>
    </row>
    <row r="448" spans="2:15" x14ac:dyDescent="0.2">
      <c r="B448" s="19"/>
      <c r="C448" s="19"/>
      <c r="D448" s="19"/>
      <c r="E448" s="19"/>
      <c r="F448" s="19"/>
      <c r="G448" s="19"/>
      <c r="H448" s="19"/>
      <c r="I448" s="19"/>
      <c r="J448" s="19"/>
      <c r="K448" s="19"/>
      <c r="L448" s="19"/>
      <c r="M448" s="19"/>
      <c r="N448" s="19"/>
      <c r="O448" s="19"/>
    </row>
    <row r="449" spans="2:15" x14ac:dyDescent="0.2">
      <c r="B449" s="19"/>
      <c r="C449" s="19"/>
      <c r="D449" s="19"/>
      <c r="E449" s="19"/>
      <c r="F449" s="19"/>
      <c r="G449" s="19"/>
      <c r="H449" s="19"/>
      <c r="I449" s="19"/>
      <c r="J449" s="19"/>
      <c r="K449" s="19"/>
      <c r="L449" s="19"/>
      <c r="M449" s="19"/>
      <c r="N449" s="19"/>
      <c r="O449" s="19"/>
    </row>
    <row r="450" spans="2:15" x14ac:dyDescent="0.2">
      <c r="B450" s="19"/>
      <c r="C450" s="19"/>
      <c r="D450" s="19"/>
      <c r="E450" s="19"/>
      <c r="F450" s="19"/>
      <c r="G450" s="19"/>
      <c r="H450" s="19"/>
      <c r="I450" s="19"/>
      <c r="J450" s="19"/>
      <c r="K450" s="19"/>
      <c r="L450" s="19"/>
      <c r="M450" s="19"/>
      <c r="N450" s="19"/>
      <c r="O450" s="19"/>
    </row>
    <row r="451" spans="2:15" x14ac:dyDescent="0.2">
      <c r="B451" s="19"/>
      <c r="C451" s="19"/>
      <c r="D451" s="19"/>
      <c r="E451" s="19"/>
      <c r="F451" s="19"/>
      <c r="G451" s="19"/>
      <c r="H451" s="19"/>
      <c r="I451" s="19"/>
      <c r="J451" s="19"/>
      <c r="K451" s="19"/>
      <c r="L451" s="19"/>
      <c r="M451" s="19"/>
      <c r="N451" s="19"/>
      <c r="O451" s="19"/>
    </row>
    <row r="452" spans="2:15" x14ac:dyDescent="0.2">
      <c r="B452" s="19"/>
      <c r="C452" s="19"/>
      <c r="D452" s="19"/>
      <c r="E452" s="19"/>
      <c r="F452" s="19"/>
      <c r="G452" s="19"/>
      <c r="H452" s="19"/>
      <c r="I452" s="19"/>
      <c r="J452" s="19"/>
      <c r="K452" s="19"/>
      <c r="L452" s="19"/>
      <c r="M452" s="19"/>
      <c r="N452" s="19"/>
      <c r="O452" s="19"/>
    </row>
    <row r="453" spans="2:15" x14ac:dyDescent="0.2">
      <c r="B453" s="19"/>
      <c r="C453" s="19"/>
      <c r="D453" s="19"/>
      <c r="E453" s="19"/>
      <c r="F453" s="19"/>
      <c r="G453" s="19"/>
      <c r="H453" s="19"/>
      <c r="I453" s="19"/>
      <c r="J453" s="19"/>
      <c r="K453" s="19"/>
      <c r="L453" s="19"/>
      <c r="M453" s="19"/>
      <c r="N453" s="19"/>
      <c r="O453" s="19"/>
    </row>
    <row r="454" spans="2:15" x14ac:dyDescent="0.2">
      <c r="B454" s="19"/>
      <c r="C454" s="19"/>
      <c r="D454" s="19"/>
      <c r="E454" s="19"/>
      <c r="F454" s="19"/>
      <c r="G454" s="19"/>
      <c r="H454" s="19"/>
      <c r="I454" s="19"/>
      <c r="J454" s="19"/>
      <c r="K454" s="19"/>
      <c r="L454" s="19"/>
      <c r="M454" s="19"/>
      <c r="N454" s="19"/>
      <c r="O454" s="19"/>
    </row>
    <row r="455" spans="2:15" x14ac:dyDescent="0.2">
      <c r="B455" s="19"/>
      <c r="C455" s="19"/>
      <c r="D455" s="19"/>
      <c r="E455" s="19"/>
      <c r="F455" s="19"/>
      <c r="G455" s="19"/>
      <c r="H455" s="19"/>
      <c r="I455" s="19"/>
      <c r="J455" s="19"/>
      <c r="K455" s="19"/>
      <c r="L455" s="19"/>
      <c r="M455" s="19"/>
      <c r="N455" s="19"/>
      <c r="O455" s="19"/>
    </row>
    <row r="456" spans="2:15" x14ac:dyDescent="0.2">
      <c r="B456" s="19"/>
      <c r="C456" s="19"/>
      <c r="D456" s="19"/>
      <c r="E456" s="19"/>
      <c r="F456" s="19"/>
      <c r="G456" s="19"/>
      <c r="H456" s="19"/>
      <c r="I456" s="19"/>
      <c r="J456" s="19"/>
      <c r="K456" s="19"/>
      <c r="L456" s="19"/>
      <c r="M456" s="19"/>
      <c r="N456" s="19"/>
      <c r="O456" s="19"/>
    </row>
    <row r="457" spans="2:15" x14ac:dyDescent="0.2">
      <c r="B457" s="19"/>
      <c r="C457" s="19"/>
      <c r="D457" s="19"/>
      <c r="E457" s="19"/>
      <c r="F457" s="19"/>
      <c r="G457" s="19"/>
      <c r="H457" s="19"/>
      <c r="I457" s="19"/>
      <c r="J457" s="19"/>
      <c r="K457" s="19"/>
      <c r="L457" s="19"/>
      <c r="M457" s="19"/>
      <c r="N457" s="19"/>
      <c r="O457" s="19"/>
    </row>
    <row r="458" spans="2:15" x14ac:dyDescent="0.2">
      <c r="B458" s="19"/>
      <c r="C458" s="19"/>
      <c r="D458" s="19"/>
      <c r="E458" s="19"/>
      <c r="F458" s="19"/>
      <c r="G458" s="19"/>
      <c r="H458" s="19"/>
      <c r="I458" s="19"/>
      <c r="J458" s="19"/>
      <c r="K458" s="19"/>
      <c r="L458" s="19"/>
      <c r="M458" s="19"/>
      <c r="N458" s="19"/>
      <c r="O458" s="19"/>
    </row>
    <row r="459" spans="2:15" x14ac:dyDescent="0.2">
      <c r="B459" s="19"/>
      <c r="C459" s="19"/>
      <c r="D459" s="19"/>
      <c r="E459" s="19"/>
      <c r="F459" s="19"/>
      <c r="G459" s="19"/>
      <c r="H459" s="19"/>
      <c r="I459" s="19"/>
      <c r="J459" s="19"/>
      <c r="K459" s="19"/>
      <c r="L459" s="19"/>
      <c r="M459" s="19"/>
      <c r="N459" s="19"/>
      <c r="O459" s="19"/>
    </row>
    <row r="460" spans="2:15" x14ac:dyDescent="0.2">
      <c r="B460" s="19"/>
      <c r="C460" s="19"/>
      <c r="D460" s="19"/>
      <c r="E460" s="19"/>
      <c r="F460" s="19"/>
      <c r="G460" s="19"/>
      <c r="H460" s="19"/>
      <c r="I460" s="19"/>
      <c r="J460" s="19"/>
      <c r="K460" s="19"/>
      <c r="L460" s="19"/>
      <c r="M460" s="19"/>
      <c r="N460" s="19"/>
      <c r="O460" s="19"/>
    </row>
    <row r="461" spans="2:15" x14ac:dyDescent="0.2">
      <c r="B461" s="19"/>
      <c r="C461" s="19"/>
      <c r="D461" s="19"/>
      <c r="E461" s="19"/>
      <c r="F461" s="19"/>
      <c r="G461" s="19"/>
      <c r="H461" s="19"/>
      <c r="I461" s="19"/>
      <c r="J461" s="19"/>
      <c r="K461" s="19"/>
      <c r="L461" s="19"/>
      <c r="M461" s="19"/>
      <c r="N461" s="19"/>
      <c r="O461" s="19"/>
    </row>
    <row r="462" spans="2:15" x14ac:dyDescent="0.2">
      <c r="B462" s="19"/>
      <c r="C462" s="19"/>
      <c r="D462" s="19"/>
      <c r="E462" s="19"/>
      <c r="F462" s="19"/>
      <c r="G462" s="19"/>
      <c r="H462" s="19"/>
      <c r="I462" s="19"/>
      <c r="J462" s="19"/>
      <c r="K462" s="19"/>
      <c r="L462" s="19"/>
      <c r="M462" s="19"/>
      <c r="N462" s="19"/>
      <c r="O462" s="19"/>
    </row>
    <row r="463" spans="2:15" x14ac:dyDescent="0.2">
      <c r="B463" s="19"/>
      <c r="C463" s="19"/>
      <c r="D463" s="19"/>
      <c r="E463" s="19"/>
      <c r="F463" s="19"/>
      <c r="G463" s="19"/>
      <c r="H463" s="19"/>
      <c r="I463" s="19"/>
      <c r="J463" s="19"/>
      <c r="K463" s="19"/>
      <c r="L463" s="19"/>
      <c r="M463" s="19"/>
      <c r="N463" s="19"/>
      <c r="O463" s="19"/>
    </row>
    <row r="464" spans="2:15" x14ac:dyDescent="0.2">
      <c r="B464" s="19"/>
      <c r="C464" s="19"/>
      <c r="D464" s="19"/>
      <c r="E464" s="19"/>
      <c r="F464" s="19"/>
      <c r="G464" s="19"/>
      <c r="H464" s="19"/>
      <c r="I464" s="19"/>
      <c r="J464" s="19"/>
      <c r="K464" s="19"/>
      <c r="L464" s="19"/>
      <c r="M464" s="19"/>
      <c r="N464" s="19"/>
      <c r="O464" s="19"/>
    </row>
    <row r="465" spans="2:15" x14ac:dyDescent="0.2">
      <c r="B465" s="19"/>
      <c r="C465" s="19"/>
      <c r="D465" s="19"/>
      <c r="E465" s="19"/>
      <c r="F465" s="19"/>
      <c r="G465" s="19"/>
      <c r="H465" s="19"/>
      <c r="I465" s="19"/>
      <c r="J465" s="19"/>
      <c r="K465" s="19"/>
      <c r="L465" s="19"/>
      <c r="M465" s="19"/>
      <c r="N465" s="19"/>
      <c r="O465" s="19"/>
    </row>
    <row r="466" spans="2:15" x14ac:dyDescent="0.2">
      <c r="B466" s="19"/>
      <c r="C466" s="19"/>
      <c r="D466" s="19"/>
      <c r="E466" s="19"/>
      <c r="F466" s="19"/>
      <c r="G466" s="19"/>
      <c r="H466" s="19"/>
      <c r="I466" s="19"/>
      <c r="J466" s="19"/>
      <c r="K466" s="19"/>
      <c r="L466" s="19"/>
      <c r="M466" s="19"/>
      <c r="N466" s="19"/>
      <c r="O466" s="19"/>
    </row>
    <row r="467" spans="2:15" x14ac:dyDescent="0.2">
      <c r="B467" s="19"/>
      <c r="C467" s="19"/>
      <c r="D467" s="19"/>
      <c r="E467" s="19"/>
      <c r="F467" s="19"/>
      <c r="G467" s="19"/>
      <c r="H467" s="19"/>
      <c r="I467" s="19"/>
      <c r="J467" s="19"/>
      <c r="K467" s="19"/>
      <c r="L467" s="19"/>
      <c r="M467" s="19"/>
      <c r="N467" s="19"/>
      <c r="O467" s="19"/>
    </row>
    <row r="468" spans="2:15" x14ac:dyDescent="0.2">
      <c r="B468" s="19"/>
      <c r="C468" s="19"/>
      <c r="D468" s="19"/>
      <c r="E468" s="19"/>
      <c r="F468" s="19"/>
      <c r="G468" s="19"/>
      <c r="H468" s="19"/>
      <c r="I468" s="19"/>
      <c r="J468" s="19"/>
      <c r="K468" s="19"/>
      <c r="L468" s="19"/>
      <c r="M468" s="19"/>
      <c r="N468" s="19"/>
      <c r="O468" s="19"/>
    </row>
    <row r="469" spans="2:15" x14ac:dyDescent="0.2">
      <c r="B469" s="19"/>
      <c r="C469" s="19"/>
      <c r="D469" s="19"/>
      <c r="E469" s="19"/>
      <c r="F469" s="19"/>
      <c r="G469" s="19"/>
      <c r="H469" s="19"/>
      <c r="I469" s="19"/>
      <c r="J469" s="19"/>
      <c r="K469" s="19"/>
      <c r="L469" s="19"/>
      <c r="M469" s="19"/>
      <c r="N469" s="19"/>
      <c r="O469" s="19"/>
    </row>
    <row r="470" spans="2:15" x14ac:dyDescent="0.2">
      <c r="B470" s="19"/>
      <c r="C470" s="19"/>
      <c r="D470" s="19"/>
      <c r="E470" s="19"/>
      <c r="F470" s="19"/>
      <c r="G470" s="19"/>
      <c r="H470" s="19"/>
      <c r="I470" s="19"/>
      <c r="J470" s="19"/>
      <c r="K470" s="19"/>
      <c r="L470" s="19"/>
      <c r="M470" s="19"/>
      <c r="N470" s="19"/>
      <c r="O470" s="19"/>
    </row>
    <row r="471" spans="2:15" x14ac:dyDescent="0.2">
      <c r="B471" s="19"/>
      <c r="C471" s="19"/>
      <c r="D471" s="19"/>
      <c r="E471" s="19"/>
      <c r="F471" s="19"/>
      <c r="G471" s="19"/>
      <c r="H471" s="19"/>
      <c r="I471" s="19"/>
      <c r="J471" s="19"/>
      <c r="K471" s="19"/>
      <c r="L471" s="19"/>
      <c r="M471" s="19"/>
      <c r="N471" s="19"/>
      <c r="O471" s="19"/>
    </row>
    <row r="472" spans="2:15" x14ac:dyDescent="0.2">
      <c r="B472" s="19"/>
      <c r="C472" s="19"/>
      <c r="D472" s="19"/>
      <c r="E472" s="19"/>
      <c r="F472" s="19"/>
      <c r="G472" s="19"/>
      <c r="H472" s="19"/>
      <c r="I472" s="19"/>
      <c r="J472" s="19"/>
      <c r="K472" s="19"/>
      <c r="L472" s="19"/>
      <c r="M472" s="19"/>
      <c r="N472" s="19"/>
      <c r="O472" s="19"/>
    </row>
    <row r="473" spans="2:15" x14ac:dyDescent="0.2">
      <c r="B473" s="19"/>
      <c r="C473" s="19"/>
      <c r="D473" s="19"/>
      <c r="E473" s="19"/>
      <c r="F473" s="19"/>
      <c r="G473" s="19"/>
      <c r="H473" s="19"/>
      <c r="I473" s="19"/>
      <c r="J473" s="19"/>
      <c r="K473" s="19"/>
      <c r="L473" s="19"/>
      <c r="M473" s="19"/>
      <c r="N473" s="19"/>
      <c r="O473" s="19"/>
    </row>
    <row r="474" spans="2:15" x14ac:dyDescent="0.2">
      <c r="B474" s="19"/>
      <c r="C474" s="19"/>
      <c r="D474" s="19"/>
      <c r="E474" s="19"/>
      <c r="F474" s="19"/>
      <c r="G474" s="19"/>
      <c r="H474" s="19"/>
      <c r="I474" s="19"/>
      <c r="J474" s="19"/>
      <c r="K474" s="19"/>
      <c r="L474" s="19"/>
      <c r="M474" s="19"/>
      <c r="N474" s="19"/>
      <c r="O474" s="19"/>
    </row>
    <row r="475" spans="2:15" x14ac:dyDescent="0.2">
      <c r="B475" s="19"/>
      <c r="C475" s="19"/>
      <c r="D475" s="19"/>
      <c r="E475" s="19"/>
      <c r="F475" s="19"/>
      <c r="G475" s="19"/>
      <c r="H475" s="19"/>
      <c r="I475" s="19"/>
      <c r="J475" s="19"/>
      <c r="K475" s="19"/>
      <c r="L475" s="19"/>
      <c r="M475" s="19"/>
      <c r="N475" s="19"/>
      <c r="O475" s="19"/>
    </row>
    <row r="476" spans="2:15" x14ac:dyDescent="0.2">
      <c r="B476" s="19"/>
      <c r="C476" s="19"/>
      <c r="D476" s="19"/>
      <c r="E476" s="19"/>
      <c r="F476" s="19"/>
      <c r="G476" s="19"/>
      <c r="H476" s="19"/>
      <c r="I476" s="19"/>
      <c r="J476" s="19"/>
      <c r="K476" s="19"/>
      <c r="L476" s="19"/>
      <c r="M476" s="19"/>
      <c r="N476" s="19"/>
      <c r="O476" s="19"/>
    </row>
    <row r="477" spans="2:15" x14ac:dyDescent="0.2">
      <c r="B477" s="19"/>
      <c r="C477" s="19"/>
      <c r="D477" s="19"/>
      <c r="E477" s="19"/>
      <c r="F477" s="19"/>
      <c r="G477" s="19"/>
      <c r="H477" s="19"/>
      <c r="I477" s="19"/>
      <c r="J477" s="19"/>
      <c r="K477" s="19"/>
      <c r="L477" s="19"/>
      <c r="M477" s="19"/>
      <c r="N477" s="19"/>
      <c r="O477" s="19"/>
    </row>
    <row r="478" spans="2:15" x14ac:dyDescent="0.2">
      <c r="B478" s="19"/>
      <c r="C478" s="19"/>
      <c r="D478" s="19"/>
      <c r="E478" s="19"/>
      <c r="F478" s="19"/>
      <c r="G478" s="19"/>
      <c r="H478" s="19"/>
      <c r="I478" s="19"/>
      <c r="J478" s="19"/>
      <c r="K478" s="19"/>
      <c r="L478" s="19"/>
      <c r="M478" s="19"/>
      <c r="N478" s="19"/>
      <c r="O478" s="19"/>
    </row>
    <row r="479" spans="2:15" x14ac:dyDescent="0.2">
      <c r="B479" s="19"/>
      <c r="C479" s="19"/>
      <c r="D479" s="19"/>
      <c r="E479" s="19"/>
      <c r="F479" s="19"/>
      <c r="G479" s="19"/>
      <c r="H479" s="19"/>
      <c r="I479" s="19"/>
      <c r="J479" s="19"/>
      <c r="K479" s="19"/>
      <c r="L479" s="19"/>
      <c r="M479" s="19"/>
      <c r="N479" s="19"/>
      <c r="O479" s="19"/>
    </row>
    <row r="480" spans="2:15" x14ac:dyDescent="0.2">
      <c r="B480" s="19"/>
      <c r="C480" s="19"/>
      <c r="D480" s="19"/>
      <c r="E480" s="19"/>
      <c r="F480" s="19"/>
      <c r="G480" s="19"/>
      <c r="H480" s="19"/>
      <c r="I480" s="19"/>
      <c r="J480" s="19"/>
      <c r="K480" s="19"/>
      <c r="L480" s="19"/>
      <c r="M480" s="19"/>
      <c r="N480" s="19"/>
      <c r="O480" s="19"/>
    </row>
    <row r="481" spans="2:15" x14ac:dyDescent="0.2">
      <c r="B481" s="19"/>
      <c r="C481" s="19"/>
      <c r="D481" s="19"/>
      <c r="E481" s="19"/>
      <c r="F481" s="19"/>
      <c r="G481" s="19"/>
      <c r="H481" s="19"/>
      <c r="I481" s="19"/>
      <c r="J481" s="19"/>
      <c r="K481" s="19"/>
      <c r="L481" s="19"/>
      <c r="M481" s="19"/>
      <c r="N481" s="19"/>
      <c r="O481" s="19"/>
    </row>
    <row r="482" spans="2:15" x14ac:dyDescent="0.2">
      <c r="B482" s="19"/>
      <c r="C482" s="19"/>
      <c r="D482" s="19"/>
      <c r="E482" s="19"/>
      <c r="F482" s="19"/>
      <c r="G482" s="19"/>
      <c r="H482" s="19"/>
      <c r="I482" s="19"/>
      <c r="J482" s="19"/>
      <c r="K482" s="19"/>
      <c r="L482" s="19"/>
      <c r="M482" s="19"/>
      <c r="N482" s="19"/>
      <c r="O482" s="19"/>
    </row>
    <row r="483" spans="2:15" x14ac:dyDescent="0.2">
      <c r="B483" s="19"/>
      <c r="C483" s="19"/>
      <c r="D483" s="19"/>
      <c r="E483" s="19"/>
      <c r="F483" s="19"/>
      <c r="G483" s="19"/>
      <c r="H483" s="19"/>
      <c r="I483" s="19"/>
      <c r="J483" s="19"/>
      <c r="K483" s="19"/>
      <c r="L483" s="19"/>
      <c r="M483" s="19"/>
      <c r="N483" s="19"/>
      <c r="O483" s="19"/>
    </row>
    <row r="484" spans="2:15" x14ac:dyDescent="0.2">
      <c r="B484" s="19"/>
      <c r="C484" s="19"/>
      <c r="D484" s="19"/>
      <c r="E484" s="19"/>
      <c r="F484" s="19"/>
      <c r="G484" s="19"/>
      <c r="H484" s="19"/>
      <c r="I484" s="19"/>
      <c r="J484" s="19"/>
      <c r="K484" s="19"/>
      <c r="L484" s="19"/>
      <c r="M484" s="19"/>
      <c r="N484" s="19"/>
      <c r="O484" s="19"/>
    </row>
    <row r="485" spans="2:15" x14ac:dyDescent="0.2">
      <c r="B485" s="19"/>
      <c r="C485" s="19"/>
      <c r="D485" s="19"/>
      <c r="E485" s="19"/>
      <c r="F485" s="19"/>
      <c r="G485" s="19"/>
      <c r="H485" s="19"/>
      <c r="I485" s="19"/>
      <c r="J485" s="19"/>
      <c r="K485" s="19"/>
      <c r="L485" s="19"/>
      <c r="M485" s="19"/>
      <c r="N485" s="19"/>
      <c r="O485" s="19"/>
    </row>
    <row r="486" spans="2:15" x14ac:dyDescent="0.2">
      <c r="B486" s="19"/>
      <c r="C486" s="19"/>
      <c r="D486" s="19"/>
      <c r="E486" s="19"/>
      <c r="F486" s="19"/>
      <c r="G486" s="19"/>
      <c r="H486" s="19"/>
      <c r="I486" s="19"/>
      <c r="J486" s="19"/>
      <c r="K486" s="19"/>
      <c r="L486" s="19"/>
      <c r="M486" s="19"/>
      <c r="N486" s="19"/>
      <c r="O486" s="19"/>
    </row>
    <row r="487" spans="2:15" x14ac:dyDescent="0.2">
      <c r="B487" s="19"/>
      <c r="C487" s="19"/>
      <c r="D487" s="19"/>
      <c r="E487" s="19"/>
      <c r="F487" s="19"/>
      <c r="G487" s="19"/>
      <c r="H487" s="19"/>
      <c r="I487" s="19"/>
      <c r="J487" s="19"/>
      <c r="K487" s="19"/>
      <c r="L487" s="19"/>
      <c r="M487" s="19"/>
      <c r="N487" s="19"/>
      <c r="O487" s="19"/>
    </row>
    <row r="488" spans="2:15" x14ac:dyDescent="0.2">
      <c r="B488" s="19"/>
      <c r="C488" s="19"/>
      <c r="D488" s="19"/>
      <c r="E488" s="19"/>
      <c r="F488" s="19"/>
      <c r="G488" s="19"/>
      <c r="H488" s="19"/>
      <c r="I488" s="19"/>
      <c r="J488" s="19"/>
      <c r="K488" s="19"/>
      <c r="L488" s="19"/>
      <c r="M488" s="19"/>
      <c r="N488" s="19"/>
      <c r="O488" s="19"/>
    </row>
    <row r="489" spans="2:15" x14ac:dyDescent="0.2">
      <c r="B489" s="19"/>
      <c r="C489" s="19"/>
      <c r="D489" s="19"/>
      <c r="E489" s="19"/>
      <c r="F489" s="19"/>
      <c r="G489" s="19"/>
      <c r="H489" s="19"/>
      <c r="I489" s="19"/>
      <c r="J489" s="19"/>
      <c r="K489" s="19"/>
      <c r="L489" s="19"/>
      <c r="M489" s="19"/>
      <c r="N489" s="19"/>
      <c r="O489" s="19"/>
    </row>
    <row r="490" spans="2:15" x14ac:dyDescent="0.2">
      <c r="B490" s="19"/>
      <c r="C490" s="19"/>
      <c r="D490" s="19"/>
      <c r="E490" s="19"/>
      <c r="F490" s="19"/>
      <c r="G490" s="19"/>
      <c r="H490" s="19"/>
      <c r="I490" s="19"/>
      <c r="J490" s="19"/>
      <c r="K490" s="19"/>
      <c r="L490" s="19"/>
      <c r="M490" s="19"/>
      <c r="N490" s="19"/>
      <c r="O490" s="19"/>
    </row>
    <row r="491" spans="2:15" x14ac:dyDescent="0.2">
      <c r="B491" s="19"/>
      <c r="C491" s="19"/>
      <c r="D491" s="19"/>
      <c r="E491" s="19"/>
      <c r="F491" s="19"/>
      <c r="G491" s="19"/>
      <c r="H491" s="19"/>
      <c r="I491" s="19"/>
      <c r="J491" s="19"/>
      <c r="K491" s="19"/>
      <c r="L491" s="19"/>
      <c r="M491" s="19"/>
      <c r="N491" s="19"/>
      <c r="O491" s="19"/>
    </row>
    <row r="492" spans="2:15" x14ac:dyDescent="0.2">
      <c r="B492" s="19"/>
      <c r="C492" s="19"/>
      <c r="D492" s="19"/>
      <c r="E492" s="19"/>
      <c r="F492" s="19"/>
      <c r="G492" s="19"/>
      <c r="H492" s="19"/>
      <c r="I492" s="19"/>
      <c r="J492" s="19"/>
      <c r="K492" s="19"/>
      <c r="L492" s="19"/>
      <c r="M492" s="19"/>
      <c r="N492" s="19"/>
      <c r="O492" s="19"/>
    </row>
    <row r="493" spans="2:15" x14ac:dyDescent="0.2">
      <c r="B493" s="19"/>
      <c r="C493" s="19"/>
      <c r="D493" s="19"/>
      <c r="E493" s="19"/>
      <c r="F493" s="19"/>
      <c r="G493" s="19"/>
      <c r="H493" s="19"/>
      <c r="I493" s="19"/>
      <c r="J493" s="19"/>
      <c r="K493" s="19"/>
      <c r="L493" s="19"/>
      <c r="M493" s="19"/>
      <c r="N493" s="19"/>
      <c r="O493" s="19"/>
    </row>
    <row r="494" spans="2:15" x14ac:dyDescent="0.2">
      <c r="B494" s="19"/>
      <c r="C494" s="19"/>
      <c r="D494" s="19"/>
      <c r="E494" s="19"/>
      <c r="F494" s="19"/>
      <c r="G494" s="19"/>
      <c r="H494" s="19"/>
      <c r="I494" s="19"/>
      <c r="J494" s="19"/>
      <c r="K494" s="19"/>
      <c r="L494" s="19"/>
      <c r="M494" s="19"/>
      <c r="N494" s="19"/>
      <c r="O494" s="19"/>
    </row>
    <row r="495" spans="2:15" x14ac:dyDescent="0.2">
      <c r="B495" s="19"/>
      <c r="C495" s="19"/>
      <c r="D495" s="19"/>
      <c r="E495" s="19"/>
      <c r="F495" s="19"/>
      <c r="G495" s="19"/>
      <c r="H495" s="19"/>
      <c r="I495" s="19"/>
      <c r="J495" s="19"/>
      <c r="K495" s="19"/>
      <c r="L495" s="19"/>
      <c r="M495" s="19"/>
      <c r="N495" s="19"/>
      <c r="O495" s="19"/>
    </row>
    <row r="496" spans="2:15" x14ac:dyDescent="0.2">
      <c r="B496" s="19"/>
      <c r="C496" s="19"/>
      <c r="D496" s="19"/>
      <c r="E496" s="19"/>
      <c r="F496" s="19"/>
      <c r="G496" s="19"/>
      <c r="H496" s="19"/>
      <c r="I496" s="19"/>
      <c r="J496" s="19"/>
      <c r="K496" s="19"/>
      <c r="L496" s="19"/>
      <c r="M496" s="19"/>
      <c r="N496" s="19"/>
      <c r="O496" s="19"/>
    </row>
    <row r="497" spans="2:15" x14ac:dyDescent="0.2">
      <c r="B497" s="19"/>
      <c r="C497" s="19"/>
      <c r="D497" s="19"/>
      <c r="E497" s="19"/>
      <c r="F497" s="19"/>
      <c r="G497" s="19"/>
      <c r="H497" s="19"/>
      <c r="I497" s="19"/>
      <c r="J497" s="19"/>
      <c r="K497" s="19"/>
      <c r="L497" s="19"/>
      <c r="M497" s="19"/>
      <c r="N497" s="19"/>
      <c r="O497" s="19"/>
    </row>
    <row r="498" spans="2:15" x14ac:dyDescent="0.2">
      <c r="B498" s="19"/>
      <c r="C498" s="19"/>
      <c r="D498" s="19"/>
      <c r="E498" s="19"/>
      <c r="F498" s="19"/>
      <c r="G498" s="19"/>
      <c r="H498" s="19"/>
      <c r="I498" s="19"/>
      <c r="J498" s="19"/>
      <c r="K498" s="19"/>
      <c r="L498" s="19"/>
      <c r="M498" s="19"/>
      <c r="N498" s="19"/>
      <c r="O498" s="19"/>
    </row>
    <row r="499" spans="2:15" x14ac:dyDescent="0.2">
      <c r="B499" s="19"/>
      <c r="C499" s="19"/>
      <c r="D499" s="19"/>
      <c r="E499" s="19"/>
      <c r="F499" s="19"/>
      <c r="G499" s="19"/>
      <c r="H499" s="19"/>
      <c r="I499" s="19"/>
      <c r="J499" s="19"/>
      <c r="K499" s="19"/>
      <c r="L499" s="19"/>
      <c r="M499" s="19"/>
      <c r="N499" s="19"/>
      <c r="O499" s="19"/>
    </row>
    <row r="500" spans="2:15" x14ac:dyDescent="0.2">
      <c r="B500" s="19"/>
      <c r="C500" s="19"/>
      <c r="D500" s="19"/>
      <c r="E500" s="19"/>
      <c r="F500" s="19"/>
      <c r="G500" s="19"/>
      <c r="H500" s="19"/>
      <c r="I500" s="19"/>
      <c r="J500" s="19"/>
      <c r="K500" s="19"/>
      <c r="L500" s="19"/>
      <c r="M500" s="19"/>
      <c r="N500" s="19"/>
      <c r="O500" s="19"/>
    </row>
    <row r="501" spans="2:15" x14ac:dyDescent="0.2">
      <c r="B501" s="19"/>
      <c r="C501" s="19"/>
      <c r="D501" s="19"/>
      <c r="E501" s="19"/>
      <c r="F501" s="19"/>
      <c r="G501" s="19"/>
      <c r="H501" s="19"/>
      <c r="I501" s="19"/>
      <c r="J501" s="19"/>
      <c r="K501" s="19"/>
      <c r="L501" s="19"/>
      <c r="M501" s="19"/>
      <c r="N501" s="19"/>
      <c r="O501" s="19"/>
    </row>
    <row r="502" spans="2:15" x14ac:dyDescent="0.2">
      <c r="B502" s="19"/>
      <c r="C502" s="19"/>
      <c r="D502" s="19"/>
      <c r="E502" s="19"/>
      <c r="F502" s="19"/>
      <c r="G502" s="19"/>
      <c r="H502" s="19"/>
      <c r="I502" s="19"/>
      <c r="J502" s="19"/>
      <c r="K502" s="19"/>
      <c r="L502" s="19"/>
      <c r="M502" s="19"/>
      <c r="N502" s="19"/>
      <c r="O502" s="19"/>
    </row>
    <row r="503" spans="2:15" x14ac:dyDescent="0.2">
      <c r="B503" s="19"/>
      <c r="C503" s="19"/>
      <c r="D503" s="19"/>
      <c r="E503" s="19"/>
      <c r="F503" s="19"/>
      <c r="G503" s="19"/>
      <c r="H503" s="19"/>
      <c r="I503" s="19"/>
      <c r="J503" s="19"/>
      <c r="K503" s="19"/>
      <c r="L503" s="19"/>
      <c r="M503" s="19"/>
      <c r="N503" s="19"/>
      <c r="O503" s="19"/>
    </row>
    <row r="504" spans="2:15" x14ac:dyDescent="0.2">
      <c r="B504" s="19"/>
      <c r="C504" s="19"/>
      <c r="D504" s="19"/>
      <c r="E504" s="19"/>
      <c r="F504" s="19"/>
      <c r="G504" s="19"/>
      <c r="H504" s="19"/>
      <c r="I504" s="19"/>
      <c r="J504" s="19"/>
      <c r="K504" s="19"/>
      <c r="L504" s="19"/>
      <c r="M504" s="19"/>
      <c r="N504" s="19"/>
      <c r="O504" s="19"/>
    </row>
    <row r="505" spans="2:15" x14ac:dyDescent="0.2">
      <c r="B505" s="19"/>
      <c r="C505" s="19"/>
      <c r="D505" s="19"/>
      <c r="E505" s="19"/>
      <c r="F505" s="19"/>
      <c r="G505" s="19"/>
      <c r="H505" s="19"/>
      <c r="I505" s="19"/>
      <c r="J505" s="19"/>
      <c r="K505" s="19"/>
      <c r="L505" s="19"/>
      <c r="M505" s="19"/>
      <c r="N505" s="19"/>
      <c r="O505" s="19"/>
    </row>
    <row r="506" spans="2:15" x14ac:dyDescent="0.2">
      <c r="B506" s="19"/>
      <c r="C506" s="19"/>
      <c r="D506" s="19"/>
      <c r="E506" s="19"/>
      <c r="F506" s="19"/>
      <c r="G506" s="19"/>
      <c r="H506" s="19"/>
      <c r="I506" s="19"/>
      <c r="J506" s="19"/>
      <c r="K506" s="19"/>
      <c r="L506" s="19"/>
      <c r="M506" s="19"/>
      <c r="N506" s="19"/>
      <c r="O506" s="19"/>
    </row>
    <row r="507" spans="2:15" x14ac:dyDescent="0.2">
      <c r="B507" s="19"/>
      <c r="C507" s="19"/>
      <c r="D507" s="19"/>
      <c r="E507" s="19"/>
      <c r="F507" s="19"/>
      <c r="G507" s="19"/>
      <c r="H507" s="19"/>
      <c r="I507" s="19"/>
      <c r="J507" s="19"/>
      <c r="K507" s="19"/>
      <c r="L507" s="19"/>
      <c r="M507" s="19"/>
      <c r="N507" s="19"/>
      <c r="O507" s="19"/>
    </row>
    <row r="508" spans="2:15" x14ac:dyDescent="0.2">
      <c r="B508" s="19"/>
      <c r="C508" s="19"/>
      <c r="D508" s="19"/>
      <c r="E508" s="19"/>
      <c r="F508" s="19"/>
      <c r="G508" s="19"/>
      <c r="H508" s="19"/>
      <c r="I508" s="19"/>
      <c r="J508" s="19"/>
      <c r="K508" s="19"/>
      <c r="L508" s="19"/>
      <c r="M508" s="19"/>
      <c r="N508" s="19"/>
      <c r="O508" s="19"/>
    </row>
    <row r="509" spans="2:15" x14ac:dyDescent="0.2">
      <c r="B509" s="19"/>
      <c r="C509" s="19"/>
      <c r="D509" s="19"/>
      <c r="E509" s="19"/>
      <c r="F509" s="19"/>
      <c r="G509" s="19"/>
      <c r="H509" s="19"/>
      <c r="I509" s="19"/>
      <c r="J509" s="19"/>
      <c r="K509" s="19"/>
      <c r="L509" s="19"/>
      <c r="M509" s="19"/>
      <c r="N509" s="19"/>
      <c r="O509" s="19"/>
    </row>
  </sheetData>
  <customSheetViews>
    <customSheetView guid="{A8892CA7-9094-4C03-B23A-DC3610B7C783}">
      <selection sqref="A1:N1"/>
      <rowBreaks count="1" manualBreakCount="1">
        <brk id="23" max="13" man="1"/>
      </rowBreaks>
      <pageMargins left="0.25" right="0.25" top="0.5" bottom="0.5" header="0.3" footer="0.3"/>
      <pageSetup orientation="landscape" horizontalDpi="1200" verticalDpi="1200" r:id="rId1"/>
      <headerFooter>
        <oddFooter>&amp;CPage &amp;P&amp;R&amp;F</oddFooter>
      </headerFooter>
    </customSheetView>
  </customSheetViews>
  <mergeCells count="15">
    <mergeCell ref="D21:L21"/>
    <mergeCell ref="B12:B22"/>
    <mergeCell ref="D12:M12"/>
    <mergeCell ref="D20:M20"/>
    <mergeCell ref="D22:M22"/>
    <mergeCell ref="C25:M25"/>
    <mergeCell ref="A1:N1"/>
    <mergeCell ref="A2:N2"/>
    <mergeCell ref="D4:M4"/>
    <mergeCell ref="D5:M5"/>
    <mergeCell ref="D6:M6"/>
    <mergeCell ref="B9:B11"/>
    <mergeCell ref="D9:M9"/>
    <mergeCell ref="D10:M10"/>
    <mergeCell ref="D11:M11"/>
  </mergeCells>
  <phoneticPr fontId="45" type="noConversion"/>
  <pageMargins left="0.25" right="0.25" top="0.5" bottom="0.5" header="0.3" footer="0.3"/>
  <pageSetup orientation="landscape" horizontalDpi="1200" verticalDpi="1200" r:id="rId2"/>
  <headerFooter>
    <oddFooter>&amp;CPage &amp;P&amp;R&amp;F</oddFooter>
  </headerFooter>
  <rowBreaks count="1" manualBreakCount="1">
    <brk id="35" max="1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12"/>
  <sheetViews>
    <sheetView workbookViewId="0">
      <selection activeCell="M36" sqref="M36"/>
    </sheetView>
  </sheetViews>
  <sheetFormatPr defaultRowHeight="12.75" x14ac:dyDescent="0.2"/>
  <sheetData>
    <row r="3" spans="1:15" ht="15" customHeight="1" x14ac:dyDescent="0.25">
      <c r="A3" s="105" t="s">
        <v>655</v>
      </c>
      <c r="E3" s="115"/>
      <c r="F3" s="142"/>
      <c r="G3" s="54"/>
      <c r="H3" s="54"/>
      <c r="I3" s="111"/>
      <c r="J3" s="54"/>
      <c r="K3" s="54"/>
      <c r="L3" s="54"/>
      <c r="M3" s="54"/>
      <c r="N3" s="54"/>
    </row>
    <row r="4" spans="1:15" x14ac:dyDescent="0.2">
      <c r="E4" s="86"/>
      <c r="F4" s="38"/>
      <c r="G4" s="38"/>
      <c r="H4" s="54"/>
      <c r="I4" s="111"/>
      <c r="J4" s="54"/>
      <c r="K4" s="54"/>
      <c r="L4" s="54"/>
      <c r="M4" s="54"/>
      <c r="N4" s="54"/>
    </row>
    <row r="5" spans="1:15" x14ac:dyDescent="0.2">
      <c r="D5" s="54"/>
      <c r="E5" s="86" t="s">
        <v>777</v>
      </c>
      <c r="F5" s="38">
        <v>53.88</v>
      </c>
      <c r="G5" s="38" t="s">
        <v>163</v>
      </c>
      <c r="H5" s="54"/>
      <c r="I5" s="275" t="s">
        <v>166</v>
      </c>
      <c r="J5" s="119"/>
      <c r="K5" s="119"/>
      <c r="L5" s="119"/>
      <c r="M5" s="119"/>
      <c r="N5" s="119"/>
      <c r="O5" s="54"/>
    </row>
    <row r="6" spans="1:15" x14ac:dyDescent="0.2">
      <c r="D6" s="54"/>
      <c r="E6" s="222" t="s">
        <v>164</v>
      </c>
      <c r="F6" s="223">
        <f>1*(F5/100)</f>
        <v>0.53880000000000006</v>
      </c>
      <c r="G6" s="223" t="s">
        <v>165</v>
      </c>
      <c r="H6" s="54"/>
      <c r="I6" s="111"/>
      <c r="J6" s="54"/>
      <c r="K6" s="54"/>
      <c r="L6" s="54"/>
      <c r="M6" s="54"/>
      <c r="N6" s="54"/>
      <c r="O6" s="54"/>
    </row>
    <row r="7" spans="1:15" x14ac:dyDescent="0.2">
      <c r="D7" s="54"/>
      <c r="E7" s="86" t="s">
        <v>778</v>
      </c>
      <c r="F7" s="38">
        <f>12.0107/1000</f>
        <v>1.2010699999999999E-2</v>
      </c>
      <c r="G7" s="38" t="s">
        <v>779</v>
      </c>
      <c r="H7" s="54"/>
      <c r="I7" s="111" t="s">
        <v>783</v>
      </c>
      <c r="J7" s="54"/>
      <c r="K7" s="54"/>
      <c r="L7" s="54"/>
      <c r="M7" s="54"/>
      <c r="N7" s="54"/>
      <c r="O7" s="54"/>
    </row>
    <row r="8" spans="1:15" x14ac:dyDescent="0.2">
      <c r="D8" s="54"/>
      <c r="E8" s="86" t="s">
        <v>780</v>
      </c>
      <c r="F8" s="38">
        <f>43.9987/1000</f>
        <v>4.3998700000000002E-2</v>
      </c>
      <c r="G8" s="38" t="s">
        <v>779</v>
      </c>
      <c r="H8" s="54"/>
      <c r="I8" s="111" t="s">
        <v>783</v>
      </c>
      <c r="J8" s="54"/>
      <c r="K8" s="54"/>
      <c r="L8" s="122"/>
      <c r="M8" s="182"/>
      <c r="N8" s="20"/>
      <c r="O8" s="54"/>
    </row>
    <row r="9" spans="1:15" x14ac:dyDescent="0.2">
      <c r="D9" s="54"/>
      <c r="E9" s="115" t="s">
        <v>781</v>
      </c>
      <c r="F9" s="277">
        <f>F6/F7*F8</f>
        <v>1.9737816746734167</v>
      </c>
      <c r="G9" s="111" t="s">
        <v>782</v>
      </c>
      <c r="H9" s="54"/>
      <c r="I9" s="111"/>
      <c r="J9" s="111" t="s">
        <v>167</v>
      </c>
      <c r="K9" s="54"/>
      <c r="L9" s="188"/>
      <c r="M9" s="189"/>
      <c r="N9" s="20"/>
      <c r="O9" s="54"/>
    </row>
    <row r="10" spans="1:15" x14ac:dyDescent="0.2">
      <c r="D10" s="54"/>
      <c r="E10" s="115"/>
      <c r="F10" s="142"/>
      <c r="H10" s="54"/>
      <c r="I10" s="111"/>
      <c r="J10" s="54"/>
      <c r="K10" s="54"/>
      <c r="L10" s="190"/>
      <c r="M10" s="191"/>
      <c r="N10" s="20"/>
      <c r="O10" s="54"/>
    </row>
    <row r="11" spans="1:15" x14ac:dyDescent="0.2">
      <c r="E11" s="86" t="s">
        <v>168</v>
      </c>
      <c r="F11" s="276">
        <v>0.5</v>
      </c>
      <c r="G11" s="38" t="s">
        <v>169</v>
      </c>
      <c r="I11" s="38"/>
    </row>
    <row r="12" spans="1:15" x14ac:dyDescent="0.2">
      <c r="E12" s="115" t="s">
        <v>170</v>
      </c>
      <c r="F12" s="46">
        <f>F11*F9</f>
        <v>0.98689083733670835</v>
      </c>
      <c r="G12" s="111" t="s">
        <v>782</v>
      </c>
    </row>
  </sheetData>
  <phoneticPr fontId="4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32"/>
  <sheetViews>
    <sheetView workbookViewId="0">
      <selection activeCell="E7" sqref="E7"/>
    </sheetView>
  </sheetViews>
  <sheetFormatPr defaultRowHeight="12.75" x14ac:dyDescent="0.2"/>
  <sheetData>
    <row r="3" spans="1:21" ht="18" x14ac:dyDescent="0.25">
      <c r="A3" s="134" t="s">
        <v>574</v>
      </c>
      <c r="E3" s="86"/>
      <c r="F3" s="20"/>
    </row>
    <row r="4" spans="1:21" x14ac:dyDescent="0.2">
      <c r="F4" s="20"/>
    </row>
    <row r="5" spans="1:21" ht="15" x14ac:dyDescent="0.25">
      <c r="A5" s="105" t="s">
        <v>635</v>
      </c>
      <c r="I5" s="38" t="s">
        <v>31</v>
      </c>
      <c r="N5" s="38"/>
      <c r="Q5" s="38"/>
    </row>
    <row r="6" spans="1:21" x14ac:dyDescent="0.2">
      <c r="C6" t="s">
        <v>591</v>
      </c>
      <c r="D6" t="s">
        <v>591</v>
      </c>
      <c r="H6" s="38" t="s">
        <v>239</v>
      </c>
      <c r="L6" s="38" t="s">
        <v>676</v>
      </c>
      <c r="Q6" s="129"/>
    </row>
    <row r="7" spans="1:21" ht="25.5" x14ac:dyDescent="0.2">
      <c r="B7" s="38" t="s">
        <v>592</v>
      </c>
      <c r="C7" s="38" t="s">
        <v>593</v>
      </c>
      <c r="D7" t="s">
        <v>594</v>
      </c>
      <c r="E7" s="38" t="s">
        <v>595</v>
      </c>
      <c r="F7" s="38" t="s">
        <v>596</v>
      </c>
      <c r="I7" s="38" t="s">
        <v>792</v>
      </c>
      <c r="L7" s="135" t="s">
        <v>597</v>
      </c>
      <c r="M7" s="135" t="s">
        <v>598</v>
      </c>
      <c r="N7" s="153" t="s">
        <v>599</v>
      </c>
      <c r="O7" s="153" t="s">
        <v>600</v>
      </c>
      <c r="P7" s="153" t="s">
        <v>601</v>
      </c>
      <c r="Q7" s="153" t="s">
        <v>602</v>
      </c>
      <c r="R7" s="153" t="s">
        <v>603</v>
      </c>
      <c r="S7" s="153" t="s">
        <v>604</v>
      </c>
      <c r="T7" s="153" t="s">
        <v>605</v>
      </c>
      <c r="U7" s="153" t="s">
        <v>606</v>
      </c>
    </row>
    <row r="8" spans="1:21" x14ac:dyDescent="0.2">
      <c r="B8" s="38" t="s">
        <v>599</v>
      </c>
      <c r="C8">
        <f>N17</f>
        <v>3.114444444444445</v>
      </c>
      <c r="D8" t="s">
        <v>607</v>
      </c>
      <c r="E8" s="38" t="s">
        <v>607</v>
      </c>
      <c r="I8" s="38" t="s">
        <v>793</v>
      </c>
      <c r="L8" s="136" t="s">
        <v>608</v>
      </c>
      <c r="M8" s="136" t="s">
        <v>609</v>
      </c>
      <c r="N8" s="137">
        <v>3.56</v>
      </c>
      <c r="O8" s="137">
        <v>4.17</v>
      </c>
      <c r="P8" s="137">
        <v>3.84</v>
      </c>
      <c r="Q8" s="137">
        <v>4.0199999999999996</v>
      </c>
      <c r="R8" s="137">
        <v>3.16</v>
      </c>
      <c r="S8" s="137">
        <v>3.12</v>
      </c>
      <c r="T8" s="137">
        <v>2.77</v>
      </c>
      <c r="U8" s="137">
        <v>36.03</v>
      </c>
    </row>
    <row r="9" spans="1:21" ht="25.5" x14ac:dyDescent="0.2">
      <c r="B9" s="38" t="s">
        <v>600</v>
      </c>
      <c r="C9">
        <f>O17</f>
        <v>4.094444444444445</v>
      </c>
      <c r="D9" t="s">
        <v>607</v>
      </c>
      <c r="E9" s="38" t="s">
        <v>607</v>
      </c>
      <c r="I9" s="38" t="s">
        <v>793</v>
      </c>
      <c r="L9" s="136" t="s">
        <v>610</v>
      </c>
      <c r="M9" s="136" t="s">
        <v>609</v>
      </c>
      <c r="N9" s="137">
        <v>3.36</v>
      </c>
      <c r="O9" s="137">
        <v>4.0599999999999996</v>
      </c>
      <c r="P9" s="137">
        <v>3.77</v>
      </c>
      <c r="Q9" s="137">
        <v>3.53</v>
      </c>
      <c r="R9" s="137">
        <v>3.41</v>
      </c>
      <c r="S9" s="137">
        <v>2.83</v>
      </c>
      <c r="T9" s="137">
        <v>2.62</v>
      </c>
      <c r="U9" s="137">
        <v>35.56</v>
      </c>
    </row>
    <row r="10" spans="1:21" ht="25.5" x14ac:dyDescent="0.2">
      <c r="B10" s="38" t="s">
        <v>601</v>
      </c>
      <c r="C10">
        <f>P17</f>
        <v>4.1233333333333331</v>
      </c>
      <c r="D10" t="s">
        <v>607</v>
      </c>
      <c r="E10" s="38" t="s">
        <v>607</v>
      </c>
      <c r="I10" s="38" t="s">
        <v>793</v>
      </c>
      <c r="L10" s="136" t="s">
        <v>611</v>
      </c>
      <c r="M10" s="136" t="s">
        <v>612</v>
      </c>
      <c r="N10" s="137">
        <v>3.54</v>
      </c>
      <c r="O10" s="137">
        <v>3.75</v>
      </c>
      <c r="P10" s="137">
        <v>4.04</v>
      </c>
      <c r="Q10" s="137">
        <v>3.58</v>
      </c>
      <c r="R10" s="137">
        <v>3.6</v>
      </c>
      <c r="S10" s="137">
        <v>2.81</v>
      </c>
      <c r="T10" s="137">
        <v>2.63</v>
      </c>
      <c r="U10" s="137">
        <v>36.549999999999997</v>
      </c>
    </row>
    <row r="11" spans="1:21" ht="25.5" x14ac:dyDescent="0.2">
      <c r="B11" s="38" t="s">
        <v>602</v>
      </c>
      <c r="C11">
        <f>Q17</f>
        <v>3.8433333333333328</v>
      </c>
      <c r="D11" t="s">
        <v>607</v>
      </c>
      <c r="E11" s="38" t="s">
        <v>607</v>
      </c>
      <c r="I11" s="38" t="s">
        <v>793</v>
      </c>
      <c r="L11" s="136" t="s">
        <v>613</v>
      </c>
      <c r="M11" s="136" t="s">
        <v>612</v>
      </c>
      <c r="N11" s="137">
        <v>3.61</v>
      </c>
      <c r="O11" s="137">
        <v>4.3600000000000003</v>
      </c>
      <c r="P11" s="137">
        <v>4.13</v>
      </c>
      <c r="Q11" s="137">
        <v>4.42</v>
      </c>
      <c r="R11" s="137">
        <v>3.82</v>
      </c>
      <c r="S11" s="137">
        <v>2.88</v>
      </c>
      <c r="T11" s="137">
        <v>2.76</v>
      </c>
      <c r="U11" s="137">
        <v>40.950000000000003</v>
      </c>
    </row>
    <row r="12" spans="1:21" x14ac:dyDescent="0.2">
      <c r="B12" s="38" t="s">
        <v>603</v>
      </c>
      <c r="C12">
        <f>R17</f>
        <v>3.5288888888888885</v>
      </c>
      <c r="D12" t="s">
        <v>607</v>
      </c>
      <c r="E12" s="38" t="s">
        <v>607</v>
      </c>
      <c r="I12" s="38" t="s">
        <v>793</v>
      </c>
      <c r="L12" s="136" t="s">
        <v>614</v>
      </c>
      <c r="M12" s="136" t="s">
        <v>615</v>
      </c>
      <c r="N12" s="137">
        <v>3.49</v>
      </c>
      <c r="O12" s="137">
        <v>4.12</v>
      </c>
      <c r="P12" s="137">
        <v>4.08</v>
      </c>
      <c r="Q12" s="137">
        <v>3.73</v>
      </c>
      <c r="R12" s="137">
        <v>4.59</v>
      </c>
      <c r="S12" s="137">
        <v>3.56</v>
      </c>
      <c r="T12" s="137">
        <v>2.5</v>
      </c>
      <c r="U12" s="137">
        <v>35.520000000000003</v>
      </c>
    </row>
    <row r="13" spans="1:21" x14ac:dyDescent="0.2">
      <c r="B13" s="38" t="s">
        <v>604</v>
      </c>
      <c r="C13">
        <f>S17</f>
        <v>2.8033333333333337</v>
      </c>
      <c r="D13" t="s">
        <v>607</v>
      </c>
      <c r="E13" s="38" t="s">
        <v>607</v>
      </c>
      <c r="I13" s="38" t="s">
        <v>793</v>
      </c>
      <c r="L13" s="136" t="s">
        <v>616</v>
      </c>
      <c r="M13" s="136" t="s">
        <v>615</v>
      </c>
      <c r="N13" s="137">
        <v>3.23</v>
      </c>
      <c r="O13" s="137">
        <v>4.1500000000000004</v>
      </c>
      <c r="P13" s="137">
        <v>4.82</v>
      </c>
      <c r="Q13" s="137">
        <v>4.2</v>
      </c>
      <c r="R13" s="137">
        <v>4.08</v>
      </c>
      <c r="S13" s="137">
        <v>2.95</v>
      </c>
      <c r="T13" s="137">
        <v>2.4900000000000002</v>
      </c>
      <c r="U13" s="137">
        <v>33.15</v>
      </c>
    </row>
    <row r="14" spans="1:21" x14ac:dyDescent="0.2">
      <c r="B14" s="38" t="s">
        <v>617</v>
      </c>
      <c r="C14">
        <f>SUM(C8:C13)</f>
        <v>21.507777777777779</v>
      </c>
      <c r="D14" s="20">
        <f>C14*Conversions!D14</f>
        <v>546.2975555555555</v>
      </c>
      <c r="E14" s="20">
        <f>AVERAGE(22,23)</f>
        <v>22.5</v>
      </c>
      <c r="F14">
        <f>M31</f>
        <v>681</v>
      </c>
      <c r="H14" s="38"/>
      <c r="I14" s="38" t="s">
        <v>794</v>
      </c>
      <c r="L14" s="136" t="s">
        <v>618</v>
      </c>
      <c r="M14" s="136" t="s">
        <v>619</v>
      </c>
      <c r="N14" s="137">
        <v>1.51</v>
      </c>
      <c r="O14" s="137">
        <v>3.46</v>
      </c>
      <c r="P14" s="137">
        <v>3.3</v>
      </c>
      <c r="Q14" s="137">
        <v>3.54</v>
      </c>
      <c r="R14" s="137">
        <v>2.4900000000000002</v>
      </c>
      <c r="S14" s="137">
        <v>1.1200000000000001</v>
      </c>
      <c r="T14" s="137">
        <v>1.05</v>
      </c>
      <c r="U14" s="137">
        <v>19.760000000000002</v>
      </c>
    </row>
    <row r="15" spans="1:21" x14ac:dyDescent="0.2">
      <c r="B15" s="38"/>
      <c r="D15">
        <f>D14*Conversions!D17*Conversions!D18</f>
        <v>2210.7877699303062</v>
      </c>
      <c r="F15">
        <f>F14*Conversions!D14</f>
        <v>17297.399999999998</v>
      </c>
      <c r="G15" s="38" t="s">
        <v>620</v>
      </c>
      <c r="L15" s="136" t="s">
        <v>621</v>
      </c>
      <c r="M15" s="136" t="s">
        <v>619</v>
      </c>
      <c r="N15" s="137">
        <v>3.14</v>
      </c>
      <c r="O15" s="137">
        <v>4.8600000000000003</v>
      </c>
      <c r="P15" s="137">
        <v>4.88</v>
      </c>
      <c r="Q15" s="137">
        <v>3.83</v>
      </c>
      <c r="R15" s="137">
        <v>3.81</v>
      </c>
      <c r="S15" s="137">
        <v>3.71</v>
      </c>
      <c r="T15" s="137">
        <v>2.99</v>
      </c>
      <c r="U15" s="137">
        <v>35.64</v>
      </c>
    </row>
    <row r="16" spans="1:21" x14ac:dyDescent="0.2">
      <c r="B16" s="38"/>
      <c r="D16" s="130">
        <f>D15*Conversions!D19</f>
        <v>2210787.7699303064</v>
      </c>
      <c r="E16" s="131"/>
      <c r="F16">
        <f>F15*Conversions!D16</f>
        <v>17297399.999999996</v>
      </c>
      <c r="G16" s="38" t="s">
        <v>622</v>
      </c>
      <c r="L16" s="136" t="s">
        <v>623</v>
      </c>
      <c r="M16" s="136" t="s">
        <v>624</v>
      </c>
      <c r="N16" s="137">
        <v>2.59</v>
      </c>
      <c r="O16" s="137">
        <v>3.92</v>
      </c>
      <c r="P16" s="137">
        <v>4.25</v>
      </c>
      <c r="Q16" s="137">
        <v>3.74</v>
      </c>
      <c r="R16" s="137">
        <v>2.8</v>
      </c>
      <c r="S16" s="137">
        <v>2.25</v>
      </c>
      <c r="T16" s="137">
        <v>1.72</v>
      </c>
      <c r="U16" s="137">
        <v>26.66</v>
      </c>
    </row>
    <row r="17" spans="1:21" ht="25.5" x14ac:dyDescent="0.2">
      <c r="B17" s="38"/>
      <c r="E17" s="128"/>
      <c r="F17" s="128">
        <f>D16/ C_Diesel!F53</f>
        <v>870.34870173124295</v>
      </c>
      <c r="G17" s="38" t="s">
        <v>404</v>
      </c>
      <c r="L17" s="138" t="s">
        <v>625</v>
      </c>
      <c r="M17" s="138" t="s">
        <v>626</v>
      </c>
      <c r="N17" s="139">
        <f t="shared" ref="N17:U17" si="0">AVERAGE(N8:N16)</f>
        <v>3.114444444444445</v>
      </c>
      <c r="O17" s="139">
        <f t="shared" si="0"/>
        <v>4.094444444444445</v>
      </c>
      <c r="P17" s="139">
        <f t="shared" si="0"/>
        <v>4.1233333333333331</v>
      </c>
      <c r="Q17" s="139">
        <f t="shared" si="0"/>
        <v>3.8433333333333328</v>
      </c>
      <c r="R17" s="139">
        <f t="shared" si="0"/>
        <v>3.5288888888888885</v>
      </c>
      <c r="S17" s="139">
        <f t="shared" si="0"/>
        <v>2.8033333333333337</v>
      </c>
      <c r="T17" s="139">
        <f t="shared" si="0"/>
        <v>2.3922222222222222</v>
      </c>
      <c r="U17" s="139">
        <f t="shared" si="0"/>
        <v>33.31333333333334</v>
      </c>
    </row>
    <row r="18" spans="1:21" ht="15" x14ac:dyDescent="0.25">
      <c r="A18" s="105" t="s">
        <v>636</v>
      </c>
    </row>
    <row r="19" spans="1:21" x14ac:dyDescent="0.2">
      <c r="B19" s="1" t="s">
        <v>658</v>
      </c>
    </row>
    <row r="20" spans="1:21" x14ac:dyDescent="0.2">
      <c r="E20" s="86" t="s">
        <v>40</v>
      </c>
      <c r="F20" s="131">
        <f>F14-D14</f>
        <v>134.7024444444445</v>
      </c>
      <c r="G20" s="38" t="s">
        <v>627</v>
      </c>
      <c r="H20" s="38"/>
      <c r="I20" s="38"/>
      <c r="L20" s="140" t="s">
        <v>774</v>
      </c>
    </row>
    <row r="21" spans="1:21" x14ac:dyDescent="0.2">
      <c r="E21" s="86" t="s">
        <v>659</v>
      </c>
      <c r="F21" s="106">
        <f>F20*Conversions!D18*Conversions!D17</f>
        <v>545.12145208969355</v>
      </c>
      <c r="G21" s="38" t="s">
        <v>41</v>
      </c>
      <c r="I21" s="38"/>
      <c r="L21" s="156"/>
      <c r="M21" s="156" t="s">
        <v>627</v>
      </c>
      <c r="N21" s="156" t="s">
        <v>627</v>
      </c>
      <c r="O21" s="156" t="s">
        <v>628</v>
      </c>
    </row>
    <row r="22" spans="1:21" x14ac:dyDescent="0.2">
      <c r="E22" s="86" t="s">
        <v>660</v>
      </c>
      <c r="F22" s="131">
        <f>F21*Conversions!D19</f>
        <v>545121.45208969351</v>
      </c>
      <c r="G22" s="38" t="s">
        <v>622</v>
      </c>
      <c r="I22" s="38"/>
      <c r="L22" s="141" t="s">
        <v>629</v>
      </c>
      <c r="M22" s="141" t="s">
        <v>630</v>
      </c>
      <c r="N22" s="141" t="s">
        <v>631</v>
      </c>
      <c r="O22" s="141" t="s">
        <v>632</v>
      </c>
    </row>
    <row r="23" spans="1:21" x14ac:dyDescent="0.2">
      <c r="E23" s="86" t="s">
        <v>661</v>
      </c>
      <c r="F23" s="132">
        <f>F22/C_Diesel!F53</f>
        <v>214.60483659499857</v>
      </c>
      <c r="G23" s="38" t="s">
        <v>404</v>
      </c>
      <c r="I23" s="38"/>
      <c r="L23" s="141">
        <v>1</v>
      </c>
      <c r="M23" s="141">
        <v>627</v>
      </c>
      <c r="N23" s="141">
        <v>1</v>
      </c>
      <c r="O23" s="141">
        <v>28</v>
      </c>
    </row>
    <row r="24" spans="1:21" x14ac:dyDescent="0.2">
      <c r="E24" s="86" t="s">
        <v>633</v>
      </c>
      <c r="F24" s="133">
        <f>F22/2</f>
        <v>272560.72604484676</v>
      </c>
      <c r="G24" s="38" t="s">
        <v>622</v>
      </c>
      <c r="I24" s="38"/>
      <c r="L24" s="141">
        <v>2</v>
      </c>
      <c r="M24" s="141">
        <v>719</v>
      </c>
      <c r="N24" s="141">
        <v>27</v>
      </c>
      <c r="O24" s="141">
        <v>11</v>
      </c>
    </row>
    <row r="25" spans="1:21" x14ac:dyDescent="0.2">
      <c r="E25" s="86" t="s">
        <v>634</v>
      </c>
      <c r="F25" s="133">
        <f>F22/2</f>
        <v>272560.72604484676</v>
      </c>
      <c r="G25" s="38" t="s">
        <v>622</v>
      </c>
      <c r="I25" s="38"/>
      <c r="L25" s="141">
        <v>3</v>
      </c>
      <c r="M25" s="141">
        <v>758</v>
      </c>
      <c r="N25" s="141">
        <v>12</v>
      </c>
      <c r="O25" s="141">
        <v>1</v>
      </c>
    </row>
    <row r="26" spans="1:21" x14ac:dyDescent="0.2">
      <c r="L26" s="141">
        <v>4</v>
      </c>
      <c r="M26" s="141">
        <v>901</v>
      </c>
      <c r="N26" s="141">
        <v>20</v>
      </c>
      <c r="O26" s="141">
        <v>0</v>
      </c>
    </row>
    <row r="27" spans="1:21" ht="15" x14ac:dyDescent="0.25">
      <c r="A27" s="105" t="s">
        <v>631</v>
      </c>
      <c r="B27" s="38"/>
      <c r="C27" s="106"/>
      <c r="L27" s="141">
        <v>5</v>
      </c>
      <c r="M27" s="141">
        <v>802</v>
      </c>
      <c r="N27" s="141">
        <v>66</v>
      </c>
      <c r="O27" s="141">
        <v>1</v>
      </c>
    </row>
    <row r="28" spans="1:21" x14ac:dyDescent="0.2">
      <c r="E28" s="86" t="s">
        <v>662</v>
      </c>
      <c r="F28" s="131">
        <f>N31</f>
        <v>17.375</v>
      </c>
      <c r="G28" s="38" t="s">
        <v>627</v>
      </c>
      <c r="I28" s="38"/>
      <c r="L28" s="141">
        <v>6</v>
      </c>
      <c r="M28" s="141">
        <v>561</v>
      </c>
      <c r="N28" s="141">
        <v>4</v>
      </c>
      <c r="O28" s="141">
        <v>28</v>
      </c>
    </row>
    <row r="29" spans="1:21" x14ac:dyDescent="0.2">
      <c r="E29" s="86" t="s">
        <v>663</v>
      </c>
      <c r="F29" s="106">
        <f>F28*Conversions!D17*Conversions!D18</f>
        <v>70.314130297500014</v>
      </c>
      <c r="G29" s="38" t="s">
        <v>620</v>
      </c>
      <c r="I29" s="38"/>
      <c r="L29" s="141">
        <v>7</v>
      </c>
      <c r="M29" s="141">
        <v>666</v>
      </c>
      <c r="N29" s="141">
        <v>7</v>
      </c>
      <c r="O29" s="141">
        <v>13</v>
      </c>
    </row>
    <row r="30" spans="1:21" x14ac:dyDescent="0.2">
      <c r="E30" s="86" t="s">
        <v>664</v>
      </c>
      <c r="F30" s="130">
        <f>F29*Conversions!D19</f>
        <v>70314.130297500014</v>
      </c>
      <c r="G30" s="38" t="s">
        <v>622</v>
      </c>
      <c r="I30" s="38"/>
      <c r="L30" s="141">
        <v>8</v>
      </c>
      <c r="M30" s="141">
        <v>414</v>
      </c>
      <c r="N30" s="141">
        <v>2</v>
      </c>
      <c r="O30" s="141">
        <v>43</v>
      </c>
    </row>
    <row r="31" spans="1:21" x14ac:dyDescent="0.2">
      <c r="E31" s="86" t="s">
        <v>665</v>
      </c>
      <c r="F31" s="128">
        <f>F30/C_Diesel!F53</f>
        <v>27.681450408837666</v>
      </c>
      <c r="G31" s="38" t="s">
        <v>404</v>
      </c>
      <c r="I31" s="38"/>
      <c r="L31" s="32" t="s">
        <v>625</v>
      </c>
      <c r="M31" s="32">
        <f>AVERAGE(M23:M30)</f>
        <v>681</v>
      </c>
      <c r="N31" s="32">
        <f>AVERAGE(N23:N30)</f>
        <v>17.375</v>
      </c>
      <c r="O31" s="32">
        <f>AVERAGE(O23:O30)</f>
        <v>15.625</v>
      </c>
    </row>
    <row r="32" spans="1:21" x14ac:dyDescent="0.2">
      <c r="I32" s="38"/>
      <c r="K32" s="38"/>
    </row>
  </sheetData>
  <phoneticPr fontId="4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44"/>
  <sheetViews>
    <sheetView topLeftCell="A16" workbookViewId="0">
      <selection activeCell="K35" sqref="K35"/>
    </sheetView>
  </sheetViews>
  <sheetFormatPr defaultRowHeight="12.75" x14ac:dyDescent="0.2"/>
  <sheetData>
    <row r="3" spans="1:9" s="105" customFormat="1" ht="15" x14ac:dyDescent="0.25">
      <c r="A3" s="105" t="s">
        <v>574</v>
      </c>
    </row>
    <row r="4" spans="1:9" x14ac:dyDescent="0.2">
      <c r="B4" t="s">
        <v>575</v>
      </c>
    </row>
    <row r="5" spans="1:9" ht="51" x14ac:dyDescent="0.2">
      <c r="B5" t="s">
        <v>576</v>
      </c>
      <c r="F5" s="127" t="s">
        <v>578</v>
      </c>
      <c r="G5" s="127" t="s">
        <v>579</v>
      </c>
      <c r="I5" s="38" t="s">
        <v>795</v>
      </c>
    </row>
    <row r="6" spans="1:9" x14ac:dyDescent="0.2">
      <c r="C6" t="s">
        <v>577</v>
      </c>
      <c r="F6" s="123" t="s">
        <v>580</v>
      </c>
      <c r="G6" s="123" t="s">
        <v>581</v>
      </c>
    </row>
    <row r="7" spans="1:9" x14ac:dyDescent="0.2">
      <c r="F7">
        <v>0.6</v>
      </c>
      <c r="G7" s="20">
        <v>1.9</v>
      </c>
    </row>
    <row r="8" spans="1:9" x14ac:dyDescent="0.2">
      <c r="F8">
        <v>0.9</v>
      </c>
      <c r="G8" s="20">
        <v>2.7</v>
      </c>
    </row>
    <row r="9" spans="1:9" x14ac:dyDescent="0.2">
      <c r="F9">
        <v>0.7</v>
      </c>
      <c r="G9" s="85">
        <v>2.2999999999999998</v>
      </c>
    </row>
    <row r="10" spans="1:9" x14ac:dyDescent="0.2">
      <c r="F10">
        <v>0.9</v>
      </c>
      <c r="G10" s="20">
        <v>0.1</v>
      </c>
    </row>
    <row r="11" spans="1:9" x14ac:dyDescent="0.2">
      <c r="F11">
        <v>0.7</v>
      </c>
      <c r="G11" s="20">
        <v>0.3</v>
      </c>
    </row>
    <row r="12" spans="1:9" x14ac:dyDescent="0.2">
      <c r="F12">
        <v>1</v>
      </c>
      <c r="G12" s="20">
        <v>0.5</v>
      </c>
    </row>
    <row r="13" spans="1:9" x14ac:dyDescent="0.2">
      <c r="F13">
        <v>0.4</v>
      </c>
      <c r="G13" s="20">
        <v>2</v>
      </c>
      <c r="I13" s="38"/>
    </row>
    <row r="14" spans="1:9" x14ac:dyDescent="0.2">
      <c r="F14">
        <v>0.6</v>
      </c>
      <c r="G14" s="20">
        <v>1.7</v>
      </c>
    </row>
    <row r="15" spans="1:9" x14ac:dyDescent="0.2">
      <c r="F15">
        <v>0.3</v>
      </c>
      <c r="G15" s="20">
        <v>0.1</v>
      </c>
    </row>
    <row r="16" spans="1:9" x14ac:dyDescent="0.2">
      <c r="F16">
        <v>0.2</v>
      </c>
      <c r="G16" s="20">
        <v>0.1</v>
      </c>
    </row>
    <row r="17" spans="6:7" x14ac:dyDescent="0.2">
      <c r="F17">
        <v>1.3</v>
      </c>
      <c r="G17" s="20">
        <v>0.1</v>
      </c>
    </row>
    <row r="18" spans="6:7" x14ac:dyDescent="0.2">
      <c r="F18">
        <v>0.6</v>
      </c>
      <c r="G18" s="20">
        <v>0.1</v>
      </c>
    </row>
    <row r="19" spans="6:7" x14ac:dyDescent="0.2">
      <c r="F19">
        <v>0.8</v>
      </c>
      <c r="G19" s="20">
        <v>0.2</v>
      </c>
    </row>
    <row r="20" spans="6:7" x14ac:dyDescent="0.2">
      <c r="F20">
        <v>1.1000000000000001</v>
      </c>
      <c r="G20" s="20">
        <v>0.5</v>
      </c>
    </row>
    <row r="21" spans="6:7" x14ac:dyDescent="0.2">
      <c r="F21">
        <v>0.3</v>
      </c>
      <c r="G21" s="20">
        <v>1.3</v>
      </c>
    </row>
    <row r="22" spans="6:7" x14ac:dyDescent="0.2">
      <c r="F22">
        <v>0.4</v>
      </c>
      <c r="G22" s="20">
        <v>0.1</v>
      </c>
    </row>
    <row r="23" spans="6:7" x14ac:dyDescent="0.2">
      <c r="F23">
        <v>0.3</v>
      </c>
      <c r="G23" s="20">
        <v>0.1</v>
      </c>
    </row>
    <row r="24" spans="6:7" x14ac:dyDescent="0.2">
      <c r="F24">
        <v>0.1</v>
      </c>
      <c r="G24" s="20">
        <v>0.1</v>
      </c>
    </row>
    <row r="25" spans="6:7" x14ac:dyDescent="0.2">
      <c r="F25">
        <v>0.7</v>
      </c>
      <c r="G25" s="20">
        <v>0.1</v>
      </c>
    </row>
    <row r="26" spans="6:7" x14ac:dyDescent="0.2">
      <c r="F26">
        <v>0.6</v>
      </c>
      <c r="G26" s="20">
        <v>0.1</v>
      </c>
    </row>
    <row r="27" spans="6:7" x14ac:dyDescent="0.2">
      <c r="F27">
        <v>0.3</v>
      </c>
      <c r="G27" s="20">
        <v>0.1</v>
      </c>
    </row>
    <row r="28" spans="6:7" x14ac:dyDescent="0.2">
      <c r="F28">
        <v>0.2</v>
      </c>
      <c r="G28" s="20">
        <v>0.1</v>
      </c>
    </row>
    <row r="29" spans="6:7" x14ac:dyDescent="0.2">
      <c r="F29">
        <v>0.4</v>
      </c>
      <c r="G29" s="20">
        <v>0.1</v>
      </c>
    </row>
    <row r="30" spans="6:7" x14ac:dyDescent="0.2">
      <c r="F30">
        <v>0.2</v>
      </c>
      <c r="G30" s="20">
        <v>0.1</v>
      </c>
    </row>
    <row r="31" spans="6:7" x14ac:dyDescent="0.2">
      <c r="F31">
        <v>0.1</v>
      </c>
      <c r="G31" s="20">
        <v>0.2</v>
      </c>
    </row>
    <row r="32" spans="6:7" x14ac:dyDescent="0.2">
      <c r="G32" s="20">
        <v>0.1</v>
      </c>
    </row>
    <row r="33" spans="5:11" x14ac:dyDescent="0.2">
      <c r="F33" s="38" t="s">
        <v>775</v>
      </c>
      <c r="G33" s="38" t="s">
        <v>776</v>
      </c>
    </row>
    <row r="34" spans="5:11" x14ac:dyDescent="0.2">
      <c r="E34" s="120" t="s">
        <v>570</v>
      </c>
      <c r="F34">
        <f>AVERAGE(F7:F32)</f>
        <v>0.54799999999999993</v>
      </c>
      <c r="G34">
        <f>AVERAGE(G7:G32)</f>
        <v>0.58076923076923048</v>
      </c>
    </row>
    <row r="35" spans="5:11" ht="12.75" customHeight="1" x14ac:dyDescent="0.2">
      <c r="F35">
        <v>14.006740000000001</v>
      </c>
      <c r="G35" t="s">
        <v>582</v>
      </c>
      <c r="H35" t="s">
        <v>583</v>
      </c>
      <c r="J35" s="243"/>
      <c r="K35" s="243"/>
    </row>
    <row r="36" spans="5:11" x14ac:dyDescent="0.2">
      <c r="F36">
        <v>15.9994</v>
      </c>
      <c r="G36" t="s">
        <v>582</v>
      </c>
      <c r="H36" t="s">
        <v>584</v>
      </c>
      <c r="I36" s="242"/>
      <c r="J36" s="243"/>
      <c r="K36" s="243"/>
    </row>
    <row r="37" spans="5:11" x14ac:dyDescent="0.2">
      <c r="F37" s="20">
        <f>F35+F36*3</f>
        <v>62.004939999999998</v>
      </c>
      <c r="G37" s="38" t="s">
        <v>582</v>
      </c>
      <c r="H37" s="38" t="s">
        <v>585</v>
      </c>
      <c r="I37" s="242"/>
      <c r="J37" s="243"/>
      <c r="K37" s="243"/>
    </row>
    <row r="38" spans="5:11" x14ac:dyDescent="0.2">
      <c r="F38">
        <f>F34/(F37/Conversions!D5)</f>
        <v>8.8380054879498307</v>
      </c>
      <c r="G38" s="85" t="s">
        <v>582</v>
      </c>
      <c r="H38" s="38" t="s">
        <v>586</v>
      </c>
      <c r="I38" s="242"/>
      <c r="J38" s="243"/>
      <c r="K38" s="243"/>
    </row>
    <row r="39" spans="5:11" x14ac:dyDescent="0.2">
      <c r="F39">
        <f>F38*F35/Conversions!D5</f>
        <v>0.12379164498828642</v>
      </c>
      <c r="G39" s="85" t="s">
        <v>582</v>
      </c>
      <c r="H39" s="38" t="s">
        <v>580</v>
      </c>
      <c r="I39" s="242"/>
      <c r="J39" s="243"/>
      <c r="K39" s="243"/>
    </row>
    <row r="40" spans="5:11" x14ac:dyDescent="0.2">
      <c r="F40" s="20">
        <f>F39/Conversions!D13</f>
        <v>5.0096701450741139E-2</v>
      </c>
      <c r="G40" s="85">
        <f>G34/Conversions!D5/Conversions!D13</f>
        <v>2.3502896959141109E-4</v>
      </c>
      <c r="H40" s="85" t="s">
        <v>400</v>
      </c>
      <c r="J40" s="20"/>
      <c r="K40" s="20"/>
    </row>
    <row r="41" spans="5:11" x14ac:dyDescent="0.2">
      <c r="F41" s="46">
        <f>F34/Conversions!D13</f>
        <v>0.22176773236678321</v>
      </c>
      <c r="H41" s="85" t="s">
        <v>42</v>
      </c>
    </row>
    <row r="42" spans="5:11" x14ac:dyDescent="0.2">
      <c r="F42" s="46">
        <f>G34/Conversions!D5/Conversions!D13</f>
        <v>2.3502896959141109E-4</v>
      </c>
      <c r="H42" s="85" t="s">
        <v>43</v>
      </c>
    </row>
    <row r="43" spans="5:11" x14ac:dyDescent="0.2">
      <c r="F43" s="128">
        <f>F40/C_Diesel!F53</f>
        <v>1.9722200231840767E-5</v>
      </c>
      <c r="G43" s="85" t="s">
        <v>587</v>
      </c>
    </row>
    <row r="44" spans="5:11" x14ac:dyDescent="0.2">
      <c r="F44" s="128">
        <f>G40/C_Diesel!F53</f>
        <v>9.2526818419827308E-8</v>
      </c>
      <c r="G44" s="85" t="s">
        <v>588</v>
      </c>
    </row>
  </sheetData>
  <phoneticPr fontId="4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5"/>
  <sheetViews>
    <sheetView zoomScaleNormal="100" zoomScaleSheetLayoutView="100" workbookViewId="0">
      <selection activeCell="G40" sqref="G40"/>
    </sheetView>
  </sheetViews>
  <sheetFormatPr defaultRowHeight="12.75" x14ac:dyDescent="0.2"/>
  <cols>
    <col min="1" max="1" width="9.140625" style="90"/>
    <col min="2" max="2" width="9.140625" style="92"/>
    <col min="3" max="3" width="33.28515625" style="90" customWidth="1"/>
    <col min="4" max="4" width="12.42578125" style="92" customWidth="1"/>
    <col min="5" max="9" width="9.140625" style="90"/>
    <col min="10" max="10" width="21.85546875" style="90" customWidth="1"/>
    <col min="11" max="11" width="12.42578125" style="90" bestFit="1" customWidth="1"/>
    <col min="12" max="16384" width="9.140625" style="90"/>
  </cols>
  <sheetData>
    <row r="1" spans="1:38" ht="20.25" x14ac:dyDescent="0.3">
      <c r="A1" s="87"/>
      <c r="B1" s="88"/>
      <c r="C1" s="87"/>
      <c r="D1" s="88"/>
      <c r="E1" s="89" t="s">
        <v>341</v>
      </c>
      <c r="F1" s="87"/>
      <c r="G1" s="87"/>
      <c r="N1" s="87"/>
      <c r="O1" s="87"/>
      <c r="P1" s="87"/>
      <c r="Q1" s="87"/>
      <c r="R1" s="87"/>
      <c r="S1" s="87"/>
      <c r="T1" s="87"/>
      <c r="U1" s="87"/>
      <c r="V1" s="87"/>
      <c r="W1" s="87"/>
      <c r="X1" s="87"/>
      <c r="Y1" s="87"/>
      <c r="Z1" s="87"/>
      <c r="AA1" s="87"/>
      <c r="AB1" s="87"/>
      <c r="AC1" s="87"/>
      <c r="AD1" s="87"/>
      <c r="AE1" s="87"/>
      <c r="AF1" s="87"/>
      <c r="AG1" s="87"/>
      <c r="AH1" s="87"/>
      <c r="AI1" s="87"/>
      <c r="AJ1" s="87"/>
      <c r="AK1" s="87"/>
      <c r="AL1" s="87"/>
    </row>
    <row r="3" spans="1:38" x14ac:dyDescent="0.2">
      <c r="B3" s="408" t="s">
        <v>371</v>
      </c>
      <c r="C3" s="408"/>
      <c r="D3" s="408"/>
      <c r="E3" s="408"/>
      <c r="F3" s="91" t="s">
        <v>431</v>
      </c>
    </row>
    <row r="4" spans="1:38" x14ac:dyDescent="0.2">
      <c r="B4" s="92">
        <v>1</v>
      </c>
      <c r="C4" s="93" t="s">
        <v>289</v>
      </c>
      <c r="D4" s="117">
        <v>2.2046220000000001</v>
      </c>
      <c r="E4" s="93" t="s">
        <v>325</v>
      </c>
      <c r="F4" s="94"/>
      <c r="H4" s="95"/>
    </row>
    <row r="5" spans="1:38" x14ac:dyDescent="0.2">
      <c r="B5" s="92">
        <v>1</v>
      </c>
      <c r="C5" s="93" t="s">
        <v>289</v>
      </c>
      <c r="D5" s="117">
        <v>1000</v>
      </c>
      <c r="E5" s="93" t="s">
        <v>437</v>
      </c>
      <c r="F5" s="94"/>
      <c r="H5" s="95"/>
    </row>
    <row r="6" spans="1:38" x14ac:dyDescent="0.2">
      <c r="B6" s="92">
        <v>1</v>
      </c>
      <c r="C6" s="93" t="s">
        <v>424</v>
      </c>
      <c r="D6" s="117">
        <v>1E-3</v>
      </c>
      <c r="E6" s="93" t="s">
        <v>289</v>
      </c>
      <c r="F6" s="93"/>
    </row>
    <row r="7" spans="1:38" x14ac:dyDescent="0.2">
      <c r="B7" s="96">
        <v>1</v>
      </c>
      <c r="C7" s="94" t="s">
        <v>429</v>
      </c>
      <c r="D7" s="117">
        <v>12</v>
      </c>
      <c r="E7" s="94" t="s">
        <v>425</v>
      </c>
      <c r="F7" s="93"/>
    </row>
    <row r="8" spans="1:38" x14ac:dyDescent="0.2">
      <c r="B8" s="96">
        <v>1</v>
      </c>
      <c r="C8" s="93" t="s">
        <v>438</v>
      </c>
      <c r="D8" s="117">
        <v>3.78541178</v>
      </c>
      <c r="E8" s="94" t="s">
        <v>19</v>
      </c>
      <c r="F8" s="93"/>
    </row>
    <row r="9" spans="1:38" x14ac:dyDescent="0.2">
      <c r="B9" s="92">
        <v>1</v>
      </c>
      <c r="C9" s="93" t="s">
        <v>436</v>
      </c>
      <c r="D9" s="117">
        <v>0.45359237000000002</v>
      </c>
      <c r="E9" s="93" t="s">
        <v>289</v>
      </c>
      <c r="F9" s="94"/>
    </row>
    <row r="10" spans="1:38" x14ac:dyDescent="0.2">
      <c r="B10">
        <v>1</v>
      </c>
      <c r="C10" s="38" t="s">
        <v>567</v>
      </c>
      <c r="D10">
        <v>5280</v>
      </c>
      <c r="E10" s="38" t="s">
        <v>429</v>
      </c>
      <c r="F10" s="94"/>
      <c r="I10" s="157"/>
      <c r="J10" s="157"/>
      <c r="K10" s="157"/>
      <c r="L10" s="157"/>
      <c r="M10" s="157"/>
    </row>
    <row r="11" spans="1:38" x14ac:dyDescent="0.2">
      <c r="B11">
        <v>1</v>
      </c>
      <c r="C11" s="38" t="s">
        <v>568</v>
      </c>
      <c r="D11">
        <v>43560</v>
      </c>
      <c r="E11" s="38" t="s">
        <v>569</v>
      </c>
      <c r="F11" s="94"/>
    </row>
    <row r="12" spans="1:38" x14ac:dyDescent="0.2">
      <c r="B12" s="38">
        <v>1</v>
      </c>
      <c r="C12" s="122" t="s">
        <v>571</v>
      </c>
      <c r="D12">
        <v>56</v>
      </c>
      <c r="E12" s="122" t="s">
        <v>572</v>
      </c>
      <c r="F12" s="38" t="s">
        <v>20</v>
      </c>
      <c r="G12"/>
      <c r="H12"/>
      <c r="I12"/>
    </row>
    <row r="13" spans="1:38" x14ac:dyDescent="0.2">
      <c r="B13">
        <v>1</v>
      </c>
      <c r="C13" s="122" t="s">
        <v>589</v>
      </c>
      <c r="D13">
        <v>2.4710538099999999</v>
      </c>
      <c r="E13" s="122" t="s">
        <v>590</v>
      </c>
    </row>
    <row r="14" spans="1:38" x14ac:dyDescent="0.2">
      <c r="B14">
        <v>1</v>
      </c>
      <c r="C14" s="122" t="s">
        <v>637</v>
      </c>
      <c r="D14">
        <v>25.4</v>
      </c>
      <c r="E14" s="122" t="s">
        <v>638</v>
      </c>
      <c r="F14"/>
    </row>
    <row r="15" spans="1:38" x14ac:dyDescent="0.2">
      <c r="B15">
        <v>1</v>
      </c>
      <c r="C15" s="122" t="s">
        <v>639</v>
      </c>
      <c r="D15">
        <v>1000</v>
      </c>
      <c r="E15" s="122" t="s">
        <v>289</v>
      </c>
      <c r="F15"/>
    </row>
    <row r="16" spans="1:38" x14ac:dyDescent="0.2">
      <c r="B16">
        <v>1</v>
      </c>
      <c r="C16" s="122" t="s">
        <v>640</v>
      </c>
      <c r="D16">
        <v>1000</v>
      </c>
      <c r="E16" s="122" t="s">
        <v>289</v>
      </c>
      <c r="F16"/>
    </row>
    <row r="17" spans="2:6" x14ac:dyDescent="0.2">
      <c r="B17">
        <v>1</v>
      </c>
      <c r="C17" s="122" t="s">
        <v>638</v>
      </c>
      <c r="D17">
        <f>0.001</f>
        <v>1E-3</v>
      </c>
      <c r="E17" s="122" t="s">
        <v>642</v>
      </c>
      <c r="F17"/>
    </row>
    <row r="18" spans="2:6" x14ac:dyDescent="0.2">
      <c r="B18">
        <v>1</v>
      </c>
      <c r="C18" s="122" t="s">
        <v>568</v>
      </c>
      <c r="D18">
        <v>4046.8564200000001</v>
      </c>
      <c r="E18" s="122" t="s">
        <v>641</v>
      </c>
      <c r="F18"/>
    </row>
    <row r="19" spans="2:6" x14ac:dyDescent="0.2">
      <c r="B19" s="38">
        <v>1</v>
      </c>
      <c r="C19" s="122" t="s">
        <v>643</v>
      </c>
      <c r="D19">
        <v>1000</v>
      </c>
      <c r="E19" s="122" t="s">
        <v>478</v>
      </c>
      <c r="F19"/>
    </row>
    <row r="20" spans="2:6" x14ac:dyDescent="0.2">
      <c r="B20" s="38">
        <v>1</v>
      </c>
      <c r="C20" s="122" t="s">
        <v>644</v>
      </c>
      <c r="D20">
        <v>1E-3</v>
      </c>
      <c r="E20" s="122" t="s">
        <v>289</v>
      </c>
      <c r="F20"/>
    </row>
    <row r="21" spans="2:6" x14ac:dyDescent="0.2">
      <c r="B21" s="38">
        <v>1</v>
      </c>
      <c r="C21" s="122" t="s">
        <v>645</v>
      </c>
      <c r="D21">
        <v>9.9999999999999995E-7</v>
      </c>
      <c r="E21" s="122" t="s">
        <v>289</v>
      </c>
      <c r="F21"/>
    </row>
    <row r="22" spans="2:6" x14ac:dyDescent="0.2">
      <c r="B22" s="38">
        <v>1</v>
      </c>
      <c r="C22" s="122" t="s">
        <v>646</v>
      </c>
      <c r="D22">
        <v>907.18474000000003</v>
      </c>
      <c r="E22" s="122" t="s">
        <v>289</v>
      </c>
      <c r="F22"/>
    </row>
    <row r="23" spans="2:6" x14ac:dyDescent="0.2">
      <c r="B23" s="38">
        <v>1</v>
      </c>
      <c r="C23" s="122" t="s">
        <v>647</v>
      </c>
      <c r="D23">
        <v>1</v>
      </c>
      <c r="E23" s="122" t="s">
        <v>648</v>
      </c>
      <c r="F23"/>
    </row>
    <row r="24" spans="2:6" x14ac:dyDescent="0.2">
      <c r="B24">
        <v>1</v>
      </c>
      <c r="C24" t="s">
        <v>656</v>
      </c>
      <c r="D24">
        <f>D28/D8</f>
        <v>0.84314188391622547</v>
      </c>
      <c r="E24" t="s">
        <v>657</v>
      </c>
    </row>
    <row r="25" spans="2:6" x14ac:dyDescent="0.2">
      <c r="B25">
        <v>1</v>
      </c>
      <c r="C25" s="38" t="s">
        <v>114</v>
      </c>
      <c r="D25">
        <f>0.293071</f>
        <v>0.29307100000000003</v>
      </c>
      <c r="E25" s="38" t="s">
        <v>116</v>
      </c>
    </row>
    <row r="26" spans="2:6" x14ac:dyDescent="0.2">
      <c r="B26">
        <v>1</v>
      </c>
      <c r="C26" s="38" t="s">
        <v>114</v>
      </c>
      <c r="D26">
        <f>D25/1000</f>
        <v>2.93071E-4</v>
      </c>
      <c r="E26" s="38" t="s">
        <v>117</v>
      </c>
    </row>
    <row r="27" spans="2:6" x14ac:dyDescent="0.2">
      <c r="B27" s="90" t="s">
        <v>682</v>
      </c>
    </row>
    <row r="28" spans="2:6" x14ac:dyDescent="0.2">
      <c r="B28" s="157"/>
      <c r="C28" s="157" t="s">
        <v>432</v>
      </c>
      <c r="D28" s="157">
        <f>D33*D8</f>
        <v>3.1916392195878722</v>
      </c>
      <c r="E28" s="157" t="s">
        <v>433</v>
      </c>
      <c r="F28" s="93"/>
    </row>
    <row r="29" spans="2:6" x14ac:dyDescent="0.2">
      <c r="B29" s="157"/>
      <c r="C29" s="157" t="s">
        <v>432</v>
      </c>
      <c r="D29" s="157">
        <f>D28*D4</f>
        <v>7.0363580395662542</v>
      </c>
      <c r="E29" s="157" t="s">
        <v>439</v>
      </c>
      <c r="F29" s="157"/>
    </row>
    <row r="30" spans="2:6" x14ac:dyDescent="0.2">
      <c r="B30" s="157">
        <v>1</v>
      </c>
      <c r="C30" s="157" t="s">
        <v>681</v>
      </c>
      <c r="D30" s="157">
        <f>1/D29</f>
        <v>0.14211897609201871</v>
      </c>
      <c r="E30" s="157" t="s">
        <v>440</v>
      </c>
      <c r="F30" s="93"/>
    </row>
    <row r="31" spans="2:6" x14ac:dyDescent="0.2">
      <c r="B31" s="157">
        <v>1</v>
      </c>
      <c r="C31" s="157" t="s">
        <v>673</v>
      </c>
      <c r="D31" s="157">
        <v>1186.04</v>
      </c>
      <c r="E31" s="157" t="s">
        <v>478</v>
      </c>
      <c r="F31" s="157" t="s">
        <v>21</v>
      </c>
    </row>
    <row r="32" spans="2:6" x14ac:dyDescent="0.2">
      <c r="B32" s="157">
        <v>1</v>
      </c>
      <c r="C32" s="157" t="s">
        <v>657</v>
      </c>
      <c r="D32" s="157">
        <f>D31/1000</f>
        <v>1.18604</v>
      </c>
      <c r="E32" s="157" t="s">
        <v>674</v>
      </c>
      <c r="F32" s="157"/>
    </row>
    <row r="33" spans="2:10" x14ac:dyDescent="0.2">
      <c r="B33" s="157">
        <v>1</v>
      </c>
      <c r="C33" s="157" t="s">
        <v>680</v>
      </c>
      <c r="D33" s="157">
        <f>1/D32</f>
        <v>0.84314188391622547</v>
      </c>
      <c r="E33" s="157" t="s">
        <v>675</v>
      </c>
      <c r="F33" s="157"/>
    </row>
    <row r="34" spans="2:10" x14ac:dyDescent="0.2">
      <c r="B34" s="92">
        <v>1</v>
      </c>
      <c r="C34" s="90" t="s">
        <v>113</v>
      </c>
      <c r="D34" s="92">
        <f>131238</f>
        <v>131238</v>
      </c>
      <c r="E34" s="90" t="s">
        <v>114</v>
      </c>
    </row>
    <row r="35" spans="2:10" x14ac:dyDescent="0.2">
      <c r="B35" s="92">
        <v>1</v>
      </c>
      <c r="C35" s="90" t="s">
        <v>115</v>
      </c>
      <c r="D35">
        <f>3.78541178</f>
        <v>3.78541178</v>
      </c>
      <c r="E35" s="90" t="s">
        <v>478</v>
      </c>
    </row>
    <row r="36" spans="2:10" x14ac:dyDescent="0.2">
      <c r="B36" s="92">
        <v>1</v>
      </c>
      <c r="C36" s="90" t="s">
        <v>656</v>
      </c>
      <c r="D36" s="261">
        <f>D34/D35</f>
        <v>34669.411844013441</v>
      </c>
      <c r="E36" s="90" t="s">
        <v>114</v>
      </c>
    </row>
    <row r="45" spans="2:10" x14ac:dyDescent="0.2">
      <c r="J45" s="90" t="s">
        <v>928</v>
      </c>
    </row>
  </sheetData>
  <customSheetViews>
    <customSheetView guid="{A8892CA7-9094-4C03-B23A-DC3610B7C783}">
      <pageMargins left="0.7" right="0.7" top="0.75" bottom="0.75" header="0.3" footer="0.3"/>
    </customSheetView>
  </customSheetViews>
  <mergeCells count="1">
    <mergeCell ref="B3:E3"/>
  </mergeCells>
  <phoneticPr fontId="45" type="noConversion"/>
  <pageMargins left="0.7" right="0.7" top="0.75" bottom="0.75" header="0.3" footer="0.3"/>
  <pageSetup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1"/>
  <sheetViews>
    <sheetView zoomScaleNormal="100" zoomScaleSheetLayoutView="100" workbookViewId="0">
      <selection activeCell="D20" sqref="D20:Q20"/>
    </sheetView>
  </sheetViews>
  <sheetFormatPr defaultRowHeight="12.75" x14ac:dyDescent="0.2"/>
  <cols>
    <col min="1" max="1" width="8.7109375" style="90" customWidth="1"/>
    <col min="2" max="2" width="9.140625" style="90"/>
    <col min="3" max="3" width="13.140625" style="90" bestFit="1" customWidth="1"/>
    <col min="4" max="16384" width="9.140625" style="90"/>
  </cols>
  <sheetData>
    <row r="1" spans="1:38" ht="20.25" x14ac:dyDescent="0.3">
      <c r="A1" s="87"/>
      <c r="B1" s="87"/>
      <c r="C1" s="87"/>
      <c r="D1" s="87"/>
      <c r="E1" s="87"/>
      <c r="F1" s="87"/>
      <c r="G1" s="87"/>
      <c r="H1" s="89" t="s">
        <v>343</v>
      </c>
      <c r="N1" s="87"/>
      <c r="O1" s="87"/>
      <c r="P1" s="87"/>
      <c r="Q1" s="87"/>
      <c r="R1" s="87"/>
      <c r="S1" s="87"/>
      <c r="T1" s="87"/>
      <c r="U1" s="87"/>
      <c r="V1" s="87"/>
      <c r="W1" s="87"/>
      <c r="X1" s="87"/>
      <c r="Y1" s="87"/>
      <c r="Z1" s="87"/>
      <c r="AA1" s="87"/>
      <c r="AB1" s="87"/>
      <c r="AC1" s="87"/>
      <c r="AD1" s="87"/>
      <c r="AE1" s="87"/>
      <c r="AF1" s="87"/>
      <c r="AG1" s="87"/>
      <c r="AH1" s="87"/>
      <c r="AI1" s="87"/>
      <c r="AJ1" s="87"/>
      <c r="AK1" s="87"/>
      <c r="AL1" s="87"/>
    </row>
    <row r="3" spans="1:38" ht="15" x14ac:dyDescent="0.25">
      <c r="A3" s="97"/>
      <c r="C3" s="91" t="s">
        <v>372</v>
      </c>
      <c r="D3" s="91" t="s">
        <v>333</v>
      </c>
    </row>
    <row r="4" spans="1:38" ht="12.75" customHeight="1" x14ac:dyDescent="0.2">
      <c r="C4" s="192">
        <v>1</v>
      </c>
      <c r="D4" s="407" t="s">
        <v>32</v>
      </c>
      <c r="E4" s="407"/>
      <c r="F4" s="407"/>
      <c r="G4" s="407"/>
      <c r="H4" s="407"/>
      <c r="I4" s="407"/>
      <c r="J4" s="407"/>
      <c r="K4" s="407"/>
      <c r="L4" s="407"/>
      <c r="M4" s="407"/>
      <c r="N4" s="407"/>
      <c r="O4" s="407"/>
      <c r="P4" s="407"/>
      <c r="Q4" s="407"/>
    </row>
    <row r="5" spans="1:38" ht="12.75" customHeight="1" x14ac:dyDescent="0.2">
      <c r="A5" s="98"/>
      <c r="C5" s="294">
        <v>2</v>
      </c>
      <c r="D5" s="413" t="s">
        <v>33</v>
      </c>
      <c r="E5" s="413"/>
      <c r="F5" s="413"/>
      <c r="G5" s="413"/>
      <c r="H5" s="413"/>
      <c r="I5" s="413"/>
      <c r="J5" s="413"/>
      <c r="K5" s="413"/>
      <c r="L5" s="413"/>
      <c r="M5" s="413"/>
      <c r="N5" s="413"/>
      <c r="O5" s="413"/>
      <c r="P5" s="413"/>
      <c r="Q5" s="413"/>
    </row>
    <row r="6" spans="1:38" ht="12.75" customHeight="1" x14ac:dyDescent="0.2">
      <c r="A6" s="99"/>
      <c r="C6" s="294">
        <v>3</v>
      </c>
      <c r="D6" s="413" t="s">
        <v>573</v>
      </c>
      <c r="E6" s="413"/>
      <c r="F6" s="413"/>
      <c r="G6" s="413"/>
      <c r="H6" s="413"/>
      <c r="I6" s="413"/>
      <c r="J6" s="413"/>
      <c r="K6" s="413"/>
      <c r="L6" s="413"/>
      <c r="M6" s="413"/>
      <c r="N6" s="413"/>
      <c r="O6" s="413"/>
      <c r="P6" s="413"/>
      <c r="Q6" s="413"/>
    </row>
    <row r="7" spans="1:38" ht="13.5" customHeight="1" x14ac:dyDescent="0.2">
      <c r="A7" s="109"/>
      <c r="C7" s="193">
        <v>4</v>
      </c>
      <c r="D7" s="410" t="s">
        <v>749</v>
      </c>
      <c r="E7" s="410"/>
      <c r="F7" s="410"/>
      <c r="G7" s="410"/>
      <c r="H7" s="410"/>
      <c r="I7" s="410"/>
      <c r="J7" s="410"/>
      <c r="K7" s="410"/>
      <c r="L7" s="410"/>
      <c r="M7" s="410"/>
      <c r="N7" s="410"/>
      <c r="O7" s="410"/>
      <c r="P7" s="410"/>
      <c r="Q7" s="410"/>
    </row>
    <row r="8" spans="1:38" x14ac:dyDescent="0.2">
      <c r="A8" s="109"/>
      <c r="C8" s="193">
        <v>5</v>
      </c>
      <c r="D8" s="410" t="s">
        <v>48</v>
      </c>
      <c r="E8" s="410"/>
      <c r="F8" s="410"/>
      <c r="G8" s="410"/>
      <c r="H8" s="410"/>
      <c r="I8" s="410"/>
      <c r="J8" s="410"/>
      <c r="K8" s="410"/>
      <c r="L8" s="410"/>
      <c r="M8" s="410"/>
      <c r="N8" s="410"/>
      <c r="O8" s="410"/>
      <c r="P8" s="410"/>
      <c r="Q8" s="410"/>
    </row>
    <row r="9" spans="1:38" ht="12.75" customHeight="1" x14ac:dyDescent="0.2">
      <c r="C9" s="193">
        <v>6</v>
      </c>
      <c r="D9" s="410" t="s">
        <v>34</v>
      </c>
      <c r="E9" s="410"/>
      <c r="F9" s="410"/>
      <c r="G9" s="410"/>
      <c r="H9" s="410"/>
      <c r="I9" s="410"/>
      <c r="J9" s="410"/>
      <c r="K9" s="410"/>
      <c r="L9" s="410"/>
      <c r="M9" s="410"/>
      <c r="N9" s="410"/>
      <c r="O9" s="410"/>
      <c r="P9" s="410"/>
      <c r="Q9" s="410"/>
    </row>
    <row r="10" spans="1:38" ht="56.25" customHeight="1" x14ac:dyDescent="0.2">
      <c r="C10" s="193">
        <v>7</v>
      </c>
      <c r="D10" s="375" t="s">
        <v>753</v>
      </c>
      <c r="E10" s="375"/>
      <c r="F10" s="375"/>
      <c r="G10" s="375"/>
      <c r="H10" s="375"/>
      <c r="I10" s="375"/>
      <c r="J10" s="375"/>
      <c r="K10" s="375"/>
      <c r="L10" s="375"/>
      <c r="M10" s="375"/>
      <c r="N10" s="375"/>
      <c r="O10" s="375"/>
      <c r="P10" s="375"/>
      <c r="Q10" s="375"/>
    </row>
    <row r="11" spans="1:38" ht="26.25" customHeight="1" x14ac:dyDescent="0.2">
      <c r="C11" s="193">
        <v>8</v>
      </c>
      <c r="D11" s="410" t="s">
        <v>35</v>
      </c>
      <c r="E11" s="410"/>
      <c r="F11" s="410"/>
      <c r="G11" s="410"/>
      <c r="H11" s="410"/>
      <c r="I11" s="410"/>
      <c r="J11" s="410"/>
      <c r="K11" s="410"/>
      <c r="L11" s="410"/>
      <c r="M11" s="410"/>
      <c r="N11" s="410"/>
      <c r="O11" s="410"/>
      <c r="P11" s="410"/>
      <c r="Q11" s="410"/>
    </row>
    <row r="12" spans="1:38" x14ac:dyDescent="0.2">
      <c r="C12" s="193">
        <v>9</v>
      </c>
      <c r="D12" s="410" t="s">
        <v>750</v>
      </c>
      <c r="E12" s="410"/>
      <c r="F12" s="410"/>
      <c r="G12" s="410"/>
      <c r="H12" s="410"/>
      <c r="I12" s="410"/>
      <c r="J12" s="410"/>
      <c r="K12" s="410"/>
      <c r="L12" s="410"/>
      <c r="M12" s="410"/>
      <c r="N12" s="410"/>
      <c r="O12" s="410"/>
      <c r="P12" s="410"/>
      <c r="Q12" s="410"/>
    </row>
    <row r="13" spans="1:38" ht="24.75" customHeight="1" x14ac:dyDescent="0.2">
      <c r="C13" s="193">
        <v>10</v>
      </c>
      <c r="D13" s="410" t="s">
        <v>751</v>
      </c>
      <c r="E13" s="410"/>
      <c r="F13" s="410"/>
      <c r="G13" s="410"/>
      <c r="H13" s="410"/>
      <c r="I13" s="410"/>
      <c r="J13" s="410"/>
      <c r="K13" s="410"/>
      <c r="L13" s="410"/>
      <c r="M13" s="410"/>
      <c r="N13" s="410"/>
      <c r="O13" s="410"/>
      <c r="P13" s="410"/>
      <c r="Q13" s="410"/>
    </row>
    <row r="14" spans="1:38" ht="39" customHeight="1" x14ac:dyDescent="0.2">
      <c r="C14" s="193">
        <v>11</v>
      </c>
      <c r="D14" s="410" t="s">
        <v>752</v>
      </c>
      <c r="E14" s="410"/>
      <c r="F14" s="410"/>
      <c r="G14" s="410"/>
      <c r="H14" s="410"/>
      <c r="I14" s="410"/>
      <c r="J14" s="410"/>
      <c r="K14" s="410"/>
      <c r="L14" s="410"/>
      <c r="M14" s="410"/>
      <c r="N14" s="410"/>
      <c r="O14" s="410"/>
      <c r="P14" s="410"/>
      <c r="Q14" s="410"/>
    </row>
    <row r="15" spans="1:38" x14ac:dyDescent="0.2">
      <c r="C15" s="194">
        <v>12</v>
      </c>
      <c r="D15" s="411" t="s">
        <v>748</v>
      </c>
      <c r="E15" s="411"/>
      <c r="F15" s="411"/>
      <c r="G15" s="411"/>
      <c r="H15" s="411"/>
      <c r="I15" s="411"/>
      <c r="J15" s="411"/>
      <c r="K15" s="411"/>
      <c r="L15" s="411"/>
      <c r="M15" s="411"/>
      <c r="N15" s="411"/>
      <c r="O15" s="411"/>
      <c r="P15" s="411"/>
      <c r="Q15" s="411"/>
    </row>
    <row r="16" spans="1:38" x14ac:dyDescent="0.2">
      <c r="C16" s="194">
        <v>13</v>
      </c>
      <c r="D16" s="411" t="s">
        <v>36</v>
      </c>
      <c r="E16" s="411"/>
      <c r="F16" s="411"/>
      <c r="G16" s="411"/>
      <c r="H16" s="411"/>
      <c r="I16" s="411"/>
      <c r="J16" s="411"/>
      <c r="K16" s="411"/>
      <c r="L16" s="411"/>
      <c r="M16" s="411"/>
      <c r="N16" s="411"/>
      <c r="O16" s="411"/>
      <c r="P16" s="411"/>
      <c r="Q16" s="411"/>
    </row>
    <row r="17" spans="3:17" ht="39" customHeight="1" x14ac:dyDescent="0.2">
      <c r="C17" s="194">
        <v>14</v>
      </c>
      <c r="D17" s="411" t="s">
        <v>150</v>
      </c>
      <c r="E17" s="411"/>
      <c r="F17" s="411"/>
      <c r="G17" s="411"/>
      <c r="H17" s="411"/>
      <c r="I17" s="411"/>
      <c r="J17" s="411"/>
      <c r="K17" s="411"/>
      <c r="L17" s="411"/>
      <c r="M17" s="411"/>
      <c r="N17" s="411"/>
      <c r="O17" s="411"/>
      <c r="P17" s="411"/>
      <c r="Q17" s="411"/>
    </row>
    <row r="18" spans="3:17" ht="39" customHeight="1" x14ac:dyDescent="0.2">
      <c r="C18" s="194">
        <v>15</v>
      </c>
      <c r="D18" s="411" t="s">
        <v>1102</v>
      </c>
      <c r="E18" s="411"/>
      <c r="F18" s="411"/>
      <c r="G18" s="411"/>
      <c r="H18" s="411"/>
      <c r="I18" s="411"/>
      <c r="J18" s="411"/>
      <c r="K18" s="411"/>
      <c r="L18" s="411"/>
      <c r="M18" s="411"/>
      <c r="N18" s="411"/>
      <c r="O18" s="411"/>
      <c r="P18" s="411"/>
      <c r="Q18" s="411"/>
    </row>
    <row r="19" spans="3:17" ht="27.75" customHeight="1" x14ac:dyDescent="0.2">
      <c r="C19" s="318">
        <v>16</v>
      </c>
      <c r="D19" s="412" t="s">
        <v>1142</v>
      </c>
      <c r="E19" s="412"/>
      <c r="F19" s="412"/>
      <c r="G19" s="412"/>
      <c r="H19" s="412"/>
      <c r="I19" s="412"/>
      <c r="J19" s="412"/>
      <c r="K19" s="412"/>
      <c r="L19" s="412"/>
      <c r="M19" s="412"/>
      <c r="N19" s="412"/>
      <c r="O19" s="412"/>
      <c r="P19" s="412"/>
    </row>
    <row r="20" spans="3:17" ht="43.5" customHeight="1" x14ac:dyDescent="0.2">
      <c r="C20" s="318">
        <v>17</v>
      </c>
      <c r="D20" s="409" t="s">
        <v>1143</v>
      </c>
      <c r="E20" s="409"/>
      <c r="F20" s="409"/>
      <c r="G20" s="409"/>
      <c r="H20" s="409"/>
      <c r="I20" s="409"/>
      <c r="J20" s="409"/>
      <c r="K20" s="409"/>
      <c r="L20" s="409"/>
      <c r="M20" s="409"/>
      <c r="N20" s="409"/>
      <c r="O20" s="409"/>
      <c r="P20" s="409"/>
      <c r="Q20" s="409"/>
    </row>
    <row r="21" spans="3:17" ht="15" x14ac:dyDescent="0.25">
      <c r="C21" s="296" t="s">
        <v>923</v>
      </c>
      <c r="D21" s="295"/>
      <c r="E21" s="295"/>
      <c r="F21" s="295"/>
      <c r="G21" s="295"/>
      <c r="H21" s="295"/>
      <c r="I21" s="295"/>
      <c r="J21" s="295"/>
      <c r="K21" s="295"/>
      <c r="L21" s="295"/>
      <c r="M21" s="295"/>
      <c r="N21" s="295"/>
      <c r="O21" s="295"/>
      <c r="P21" s="295"/>
      <c r="Q21" s="295"/>
    </row>
  </sheetData>
  <customSheetViews>
    <customSheetView guid="{A8892CA7-9094-4C03-B23A-DC3610B7C783}" topLeftCell="B1">
      <selection activeCell="B1" sqref="B1"/>
      <pageMargins left="0.75" right="0.75" top="1" bottom="1" header="0.5" footer="0.5"/>
      <pageSetup orientation="portrait" r:id="rId1"/>
      <headerFooter alignWithMargins="0"/>
    </customSheetView>
  </customSheetViews>
  <mergeCells count="17">
    <mergeCell ref="D12:Q12"/>
    <mergeCell ref="D10:Q10"/>
    <mergeCell ref="D11:Q11"/>
    <mergeCell ref="D8:Q8"/>
    <mergeCell ref="D9:Q9"/>
    <mergeCell ref="D4:Q4"/>
    <mergeCell ref="D5:Q5"/>
    <mergeCell ref="D6:Q6"/>
    <mergeCell ref="D7:Q7"/>
    <mergeCell ref="D20:Q20"/>
    <mergeCell ref="D13:Q13"/>
    <mergeCell ref="D14:Q14"/>
    <mergeCell ref="D16:Q16"/>
    <mergeCell ref="D15:Q15"/>
    <mergeCell ref="D18:Q18"/>
    <mergeCell ref="D17:Q17"/>
    <mergeCell ref="D19:P19"/>
  </mergeCells>
  <phoneticPr fontId="45" type="noConversion"/>
  <pageMargins left="0.75" right="0.75" top="1" bottom="1" header="0.5" footer="0.5"/>
  <pageSetup scale="75"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topLeftCell="A188" workbookViewId="0"/>
  </sheetViews>
  <sheetFormatPr defaultRowHeight="12.75" x14ac:dyDescent="0.2"/>
  <cols>
    <col min="1" max="1" width="39.85546875" customWidth="1"/>
    <col min="2" max="2" width="17.140625" customWidth="1"/>
    <col min="3" max="3" width="32.42578125" customWidth="1"/>
    <col min="6" max="6" width="23" bestFit="1" customWidth="1"/>
  </cols>
  <sheetData>
    <row r="1" spans="1:6" x14ac:dyDescent="0.2">
      <c r="A1" s="305" t="s">
        <v>934</v>
      </c>
    </row>
    <row r="2" spans="1:6" x14ac:dyDescent="0.2">
      <c r="A2" t="s">
        <v>935</v>
      </c>
      <c r="C2" t="s">
        <v>936</v>
      </c>
      <c r="D2" t="s">
        <v>937</v>
      </c>
    </row>
    <row r="3" spans="1:6" ht="30" x14ac:dyDescent="0.25">
      <c r="A3" t="s">
        <v>938</v>
      </c>
      <c r="C3" s="306" t="s">
        <v>51</v>
      </c>
      <c r="E3" t="s">
        <v>939</v>
      </c>
      <c r="F3" s="307">
        <v>42011.557650462964</v>
      </c>
    </row>
    <row r="4" spans="1:6" x14ac:dyDescent="0.2">
      <c r="A4" t="s">
        <v>940</v>
      </c>
    </row>
    <row r="5" spans="1:6" x14ac:dyDescent="0.2">
      <c r="A5" t="s">
        <v>941</v>
      </c>
    </row>
    <row r="6" spans="1:6" x14ac:dyDescent="0.2">
      <c r="A6" t="s">
        <v>942</v>
      </c>
    </row>
    <row r="7" spans="1:6" x14ac:dyDescent="0.2">
      <c r="A7" t="s">
        <v>943</v>
      </c>
    </row>
    <row r="8" spans="1:6" x14ac:dyDescent="0.2">
      <c r="A8" t="s">
        <v>944</v>
      </c>
    </row>
    <row r="9" spans="1:6" x14ac:dyDescent="0.2">
      <c r="A9" t="s">
        <v>945</v>
      </c>
    </row>
    <row r="10" spans="1:6" x14ac:dyDescent="0.2">
      <c r="A10" t="s">
        <v>946</v>
      </c>
    </row>
    <row r="12" spans="1:6" x14ac:dyDescent="0.2">
      <c r="A12" t="s">
        <v>947</v>
      </c>
    </row>
    <row r="14" spans="1:6" x14ac:dyDescent="0.2">
      <c r="A14" t="s">
        <v>948</v>
      </c>
    </row>
    <row r="15" spans="1:6" x14ac:dyDescent="0.2">
      <c r="A15" t="s">
        <v>949</v>
      </c>
    </row>
    <row r="16" spans="1:6" ht="90" x14ac:dyDescent="0.25">
      <c r="A16" s="306" t="s">
        <v>916</v>
      </c>
    </row>
    <row r="17" spans="1:4" ht="300" x14ac:dyDescent="0.25">
      <c r="A17" s="306" t="s">
        <v>1075</v>
      </c>
    </row>
    <row r="18" spans="1:4" x14ac:dyDescent="0.2">
      <c r="A18" t="s">
        <v>950</v>
      </c>
    </row>
    <row r="19" spans="1:4" x14ac:dyDescent="0.2">
      <c r="A19" t="s">
        <v>951</v>
      </c>
      <c r="B19" t="s">
        <v>952</v>
      </c>
    </row>
    <row r="20" spans="1:4" x14ac:dyDescent="0.2">
      <c r="A20" t="s">
        <v>952</v>
      </c>
    </row>
    <row r="22" spans="1:4" x14ac:dyDescent="0.2">
      <c r="A22" t="s">
        <v>953</v>
      </c>
    </row>
    <row r="24" spans="1:4" x14ac:dyDescent="0.2">
      <c r="A24" t="s">
        <v>954</v>
      </c>
    </row>
    <row r="25" spans="1:4" ht="15" x14ac:dyDescent="0.25">
      <c r="A25" t="s">
        <v>955</v>
      </c>
      <c r="B25" s="306">
        <v>2011</v>
      </c>
      <c r="C25" t="s">
        <v>956</v>
      </c>
      <c r="D25">
        <v>0</v>
      </c>
    </row>
    <row r="26" spans="1:4" x14ac:dyDescent="0.2">
      <c r="A26" t="s">
        <v>954</v>
      </c>
    </row>
    <row r="27" spans="1:4" x14ac:dyDescent="0.2">
      <c r="A27" t="s">
        <v>957</v>
      </c>
    </row>
    <row r="28" spans="1:4" x14ac:dyDescent="0.2">
      <c r="A28" t="s">
        <v>958</v>
      </c>
    </row>
    <row r="29" spans="1:4" x14ac:dyDescent="0.2">
      <c r="A29" t="s">
        <v>959</v>
      </c>
    </row>
    <row r="30" spans="1:4" x14ac:dyDescent="0.2">
      <c r="A30" t="s">
        <v>960</v>
      </c>
    </row>
    <row r="31" spans="1:4" ht="15" x14ac:dyDescent="0.25">
      <c r="A31" s="306" t="s">
        <v>353</v>
      </c>
    </row>
    <row r="32" spans="1:4" ht="15" x14ac:dyDescent="0.25">
      <c r="A32" s="306" t="s">
        <v>451</v>
      </c>
    </row>
    <row r="33" spans="1:2" x14ac:dyDescent="0.2">
      <c r="A33" t="s">
        <v>961</v>
      </c>
    </row>
    <row r="34" spans="1:2" x14ac:dyDescent="0.2">
      <c r="A34" t="s">
        <v>962</v>
      </c>
    </row>
    <row r="36" spans="1:2" x14ac:dyDescent="0.2">
      <c r="A36" t="s">
        <v>963</v>
      </c>
    </row>
    <row r="38" spans="1:2" x14ac:dyDescent="0.2">
      <c r="A38" t="s">
        <v>964</v>
      </c>
    </row>
    <row r="40" spans="1:2" x14ac:dyDescent="0.2">
      <c r="A40" t="s">
        <v>965</v>
      </c>
      <c r="B40" t="s">
        <v>966</v>
      </c>
    </row>
    <row r="41" spans="1:2" x14ac:dyDescent="0.2">
      <c r="A41" t="s">
        <v>967</v>
      </c>
    </row>
    <row r="43" spans="1:2" x14ac:dyDescent="0.2">
      <c r="A43" t="s">
        <v>968</v>
      </c>
    </row>
    <row r="44" spans="1:2" x14ac:dyDescent="0.2">
      <c r="A44" t="s">
        <v>969</v>
      </c>
    </row>
    <row r="46" spans="1:2" x14ac:dyDescent="0.2">
      <c r="A46" t="s">
        <v>970</v>
      </c>
    </row>
    <row r="47" spans="1:2" x14ac:dyDescent="0.2">
      <c r="A47" t="s">
        <v>971</v>
      </c>
    </row>
    <row r="48" spans="1:2" x14ac:dyDescent="0.2">
      <c r="A48" t="s">
        <v>972</v>
      </c>
    </row>
    <row r="49" spans="1:1" x14ac:dyDescent="0.2">
      <c r="A49" s="305" t="s">
        <v>973</v>
      </c>
    </row>
    <row r="50" spans="1:1" ht="15" x14ac:dyDescent="0.25">
      <c r="A50" s="306" t="s">
        <v>285</v>
      </c>
    </row>
    <row r="51" spans="1:1" ht="15" x14ac:dyDescent="0.25">
      <c r="A51" s="306" t="s">
        <v>46</v>
      </c>
    </row>
    <row r="52" spans="1:1" x14ac:dyDescent="0.2">
      <c r="A52" t="s">
        <v>974</v>
      </c>
    </row>
    <row r="53" spans="1:1" x14ac:dyDescent="0.2">
      <c r="A53" s="305" t="s">
        <v>975</v>
      </c>
    </row>
    <row r="55" spans="1:1" x14ac:dyDescent="0.2">
      <c r="A55" s="305" t="s">
        <v>976</v>
      </c>
    </row>
    <row r="57" spans="1:1" x14ac:dyDescent="0.2">
      <c r="A57" s="305" t="s">
        <v>977</v>
      </c>
    </row>
    <row r="59" spans="1:1" x14ac:dyDescent="0.2">
      <c r="A59" t="s">
        <v>978</v>
      </c>
    </row>
    <row r="61" spans="1:1" x14ac:dyDescent="0.2">
      <c r="A61" t="s">
        <v>979</v>
      </c>
    </row>
    <row r="62" spans="1:1" x14ac:dyDescent="0.2">
      <c r="A62" t="s">
        <v>980</v>
      </c>
    </row>
    <row r="64" spans="1:1" x14ac:dyDescent="0.2">
      <c r="A64" t="s">
        <v>981</v>
      </c>
    </row>
    <row r="66" spans="1:3" x14ac:dyDescent="0.2">
      <c r="A66" t="s">
        <v>982</v>
      </c>
    </row>
    <row r="68" spans="1:3" x14ac:dyDescent="0.2">
      <c r="A68" t="s">
        <v>983</v>
      </c>
    </row>
    <row r="70" spans="1:3" x14ac:dyDescent="0.2">
      <c r="A70" t="s">
        <v>984</v>
      </c>
    </row>
    <row r="72" spans="1:3" x14ac:dyDescent="0.2">
      <c r="A72" t="s">
        <v>985</v>
      </c>
    </row>
    <row r="74" spans="1:3" x14ac:dyDescent="0.2">
      <c r="A74" t="s">
        <v>986</v>
      </c>
    </row>
    <row r="76" spans="1:3" x14ac:dyDescent="0.2">
      <c r="A76" t="s">
        <v>987</v>
      </c>
    </row>
    <row r="78" spans="1:3" x14ac:dyDescent="0.2">
      <c r="A78" t="s">
        <v>988</v>
      </c>
      <c r="B78" s="308">
        <v>0</v>
      </c>
      <c r="C78" t="s">
        <v>989</v>
      </c>
    </row>
    <row r="80" spans="1:3" x14ac:dyDescent="0.2">
      <c r="A80" t="s">
        <v>990</v>
      </c>
    </row>
    <row r="82" spans="1:6" x14ac:dyDescent="0.2">
      <c r="A82" t="s">
        <v>991</v>
      </c>
    </row>
    <row r="84" spans="1:6" x14ac:dyDescent="0.2">
      <c r="A84" t="s">
        <v>992</v>
      </c>
    </row>
    <row r="86" spans="1:6" x14ac:dyDescent="0.2">
      <c r="A86" t="s">
        <v>993</v>
      </c>
    </row>
    <row r="88" spans="1:6" x14ac:dyDescent="0.2">
      <c r="A88" t="s">
        <v>243</v>
      </c>
    </row>
    <row r="89" spans="1:6" x14ac:dyDescent="0.2">
      <c r="A89" t="s">
        <v>994</v>
      </c>
    </row>
    <row r="91" spans="1:6" x14ac:dyDescent="0.2">
      <c r="A91" t="s">
        <v>995</v>
      </c>
    </row>
    <row r="92" spans="1:6" x14ac:dyDescent="0.2">
      <c r="A92" t="s">
        <v>996</v>
      </c>
    </row>
    <row r="94" spans="1:6" x14ac:dyDescent="0.2">
      <c r="A94" t="s">
        <v>997</v>
      </c>
    </row>
    <row r="95" spans="1:6" x14ac:dyDescent="0.2">
      <c r="A95" t="s">
        <v>998</v>
      </c>
      <c r="B95" t="s">
        <v>999</v>
      </c>
      <c r="C95" t="s">
        <v>1000</v>
      </c>
      <c r="D95" t="s">
        <v>1001</v>
      </c>
      <c r="E95" t="s">
        <v>1002</v>
      </c>
      <c r="F95" t="s">
        <v>1003</v>
      </c>
    </row>
    <row r="96" spans="1:6" x14ac:dyDescent="0.2">
      <c r="A96" t="s">
        <v>1004</v>
      </c>
    </row>
    <row r="97" spans="1:1" x14ac:dyDescent="0.2">
      <c r="A97" t="s">
        <v>1005</v>
      </c>
    </row>
    <row r="98" spans="1:1" x14ac:dyDescent="0.2">
      <c r="A98" t="s">
        <v>1006</v>
      </c>
    </row>
    <row r="100" spans="1:1" x14ac:dyDescent="0.2">
      <c r="A100" t="s">
        <v>1007</v>
      </c>
    </row>
    <row r="102" spans="1:1" x14ac:dyDescent="0.2">
      <c r="A102" t="s">
        <v>1008</v>
      </c>
    </row>
    <row r="104" spans="1:1" x14ac:dyDescent="0.2">
      <c r="A104" s="305" t="s">
        <v>1009</v>
      </c>
    </row>
    <row r="105" spans="1:1" x14ac:dyDescent="0.2">
      <c r="A105" s="305" t="s">
        <v>1009</v>
      </c>
    </row>
    <row r="107" spans="1:1" x14ac:dyDescent="0.2">
      <c r="A107" t="s">
        <v>1010</v>
      </c>
    </row>
    <row r="108" spans="1:1" x14ac:dyDescent="0.2">
      <c r="A108" t="s">
        <v>1010</v>
      </c>
    </row>
    <row r="109" spans="1:1" x14ac:dyDescent="0.2">
      <c r="A109" s="305" t="s">
        <v>1011</v>
      </c>
    </row>
    <row r="110" spans="1:1" x14ac:dyDescent="0.2">
      <c r="A110" t="s">
        <v>1012</v>
      </c>
    </row>
    <row r="112" spans="1:1" x14ac:dyDescent="0.2">
      <c r="A112" t="s">
        <v>1013</v>
      </c>
    </row>
    <row r="113" spans="1:10" x14ac:dyDescent="0.2">
      <c r="A113" t="s">
        <v>1014</v>
      </c>
      <c r="B113" t="s">
        <v>1015</v>
      </c>
    </row>
    <row r="114" spans="1:10" x14ac:dyDescent="0.2">
      <c r="A114" s="305" t="s">
        <v>1016</v>
      </c>
    </row>
    <row r="115" spans="1:10" x14ac:dyDescent="0.2">
      <c r="A115" t="s">
        <v>1017</v>
      </c>
    </row>
    <row r="116" spans="1:10" x14ac:dyDescent="0.2">
      <c r="A116" t="s">
        <v>1018</v>
      </c>
    </row>
    <row r="117" spans="1:10" x14ac:dyDescent="0.2">
      <c r="A117" t="s">
        <v>1019</v>
      </c>
    </row>
    <row r="119" spans="1:10" x14ac:dyDescent="0.2">
      <c r="A119" t="s">
        <v>275</v>
      </c>
      <c r="B119" t="s">
        <v>691</v>
      </c>
    </row>
    <row r="120" spans="1:10" x14ac:dyDescent="0.2">
      <c r="A120" t="s">
        <v>1020</v>
      </c>
      <c r="B120" s="305" t="s">
        <v>1021</v>
      </c>
    </row>
    <row r="121" spans="1:10" x14ac:dyDescent="0.2">
      <c r="A121" t="s">
        <v>1022</v>
      </c>
    </row>
    <row r="123" spans="1:10" x14ac:dyDescent="0.2">
      <c r="A123" t="s">
        <v>1023</v>
      </c>
    </row>
    <row r="124" spans="1:10" x14ac:dyDescent="0.2">
      <c r="A124" t="s">
        <v>233</v>
      </c>
    </row>
    <row r="125" spans="1:10" x14ac:dyDescent="0.2">
      <c r="A125" t="s">
        <v>233</v>
      </c>
      <c r="B125" t="s">
        <v>231</v>
      </c>
      <c r="C125" t="s">
        <v>232</v>
      </c>
      <c r="D125" t="s">
        <v>1024</v>
      </c>
      <c r="E125" t="s">
        <v>1025</v>
      </c>
      <c r="F125" t="s">
        <v>1026</v>
      </c>
      <c r="G125" t="s">
        <v>1027</v>
      </c>
    </row>
    <row r="126" spans="1:10" ht="15" x14ac:dyDescent="0.25">
      <c r="A126" s="309" t="s">
        <v>144</v>
      </c>
      <c r="B126" s="309"/>
      <c r="C126" s="309">
        <v>13</v>
      </c>
      <c r="D126" s="309"/>
      <c r="E126" s="309"/>
      <c r="F126" s="310">
        <v>0</v>
      </c>
      <c r="G126" s="309" t="s">
        <v>145</v>
      </c>
      <c r="H126" s="309"/>
      <c r="I126" s="309"/>
      <c r="J126" s="309"/>
    </row>
    <row r="127" spans="1:10" ht="15" x14ac:dyDescent="0.25">
      <c r="A127" s="309" t="s">
        <v>453</v>
      </c>
      <c r="B127" s="309"/>
      <c r="C127" s="309">
        <v>6350.2931800000006</v>
      </c>
      <c r="D127" s="309"/>
      <c r="E127" s="309"/>
      <c r="F127" s="310">
        <v>0</v>
      </c>
      <c r="G127" s="309" t="s">
        <v>796</v>
      </c>
      <c r="H127" s="309"/>
      <c r="I127" s="309"/>
      <c r="J127" s="309"/>
    </row>
    <row r="128" spans="1:10" ht="15" x14ac:dyDescent="0.25">
      <c r="A128" s="309" t="s">
        <v>692</v>
      </c>
      <c r="B128" s="309" t="s">
        <v>693</v>
      </c>
      <c r="C128" s="309">
        <v>190508.7954</v>
      </c>
      <c r="D128" s="309"/>
      <c r="E128" s="309"/>
      <c r="F128" s="310">
        <v>0</v>
      </c>
      <c r="G128" s="309" t="s">
        <v>23</v>
      </c>
      <c r="H128" s="309"/>
      <c r="I128" s="309"/>
      <c r="J128" s="309"/>
    </row>
    <row r="129" spans="1:10" ht="15" x14ac:dyDescent="0.25">
      <c r="A129" s="309" t="s">
        <v>146</v>
      </c>
      <c r="B129" s="309" t="s">
        <v>1077</v>
      </c>
      <c r="C129" s="309">
        <v>82553.811340000015</v>
      </c>
      <c r="D129" s="309"/>
      <c r="E129" s="309"/>
      <c r="F129" s="310">
        <v>0</v>
      </c>
      <c r="G129" s="309" t="s">
        <v>890</v>
      </c>
      <c r="H129" s="309"/>
      <c r="I129" s="309"/>
      <c r="J129" s="309"/>
    </row>
    <row r="130" spans="1:10" ht="15" x14ac:dyDescent="0.25">
      <c r="A130" s="309" t="s">
        <v>695</v>
      </c>
      <c r="B130" s="309"/>
      <c r="C130" s="309">
        <v>0.98689083733670835</v>
      </c>
      <c r="D130" s="309"/>
      <c r="E130" s="309"/>
      <c r="F130" s="310">
        <v>0</v>
      </c>
      <c r="G130" s="309" t="s">
        <v>121</v>
      </c>
      <c r="H130" s="309"/>
      <c r="I130" s="309"/>
      <c r="J130" s="309"/>
    </row>
    <row r="131" spans="1:10" ht="15" x14ac:dyDescent="0.25">
      <c r="A131" s="309" t="s">
        <v>122</v>
      </c>
      <c r="B131" s="309"/>
      <c r="C131" s="309">
        <v>19.21080405</v>
      </c>
      <c r="D131" s="309"/>
      <c r="E131" s="309"/>
      <c r="F131" s="310">
        <v>0</v>
      </c>
      <c r="G131" s="309" t="s">
        <v>124</v>
      </c>
      <c r="H131" s="309"/>
      <c r="I131" s="309"/>
      <c r="J131" s="309"/>
    </row>
    <row r="132" spans="1:10" ht="15" x14ac:dyDescent="0.25">
      <c r="A132" s="309" t="s">
        <v>125</v>
      </c>
      <c r="B132" s="309" t="s">
        <v>1078</v>
      </c>
      <c r="C132" s="309">
        <v>3.0251837994667197E-3</v>
      </c>
      <c r="D132" s="309"/>
      <c r="E132" s="309"/>
      <c r="F132" s="310">
        <v>0</v>
      </c>
      <c r="G132" s="309" t="s">
        <v>127</v>
      </c>
      <c r="H132" s="309"/>
      <c r="I132" s="309"/>
      <c r="J132" s="309"/>
    </row>
    <row r="133" spans="1:10" ht="15" x14ac:dyDescent="0.25">
      <c r="A133" s="309" t="s">
        <v>401</v>
      </c>
      <c r="B133" s="309"/>
      <c r="C133" s="309">
        <v>31.279734564844023</v>
      </c>
      <c r="D133" s="309"/>
      <c r="E133" s="309"/>
      <c r="F133" s="310">
        <v>0</v>
      </c>
      <c r="G133" s="309" t="s">
        <v>797</v>
      </c>
      <c r="H133" s="309"/>
      <c r="I133" s="309"/>
      <c r="J133" s="309"/>
    </row>
    <row r="134" spans="1:10" ht="15" x14ac:dyDescent="0.25">
      <c r="A134" s="309" t="s">
        <v>403</v>
      </c>
      <c r="B134" s="309" t="s">
        <v>1079</v>
      </c>
      <c r="C134" s="309">
        <v>4.9257150305057288E-3</v>
      </c>
      <c r="D134" s="309"/>
      <c r="E134" s="309"/>
      <c r="F134" s="310">
        <v>0</v>
      </c>
      <c r="G134" s="309" t="s">
        <v>798</v>
      </c>
      <c r="H134" s="309"/>
      <c r="I134" s="309"/>
      <c r="J134" s="309"/>
    </row>
    <row r="135" spans="1:10" ht="15" x14ac:dyDescent="0.25">
      <c r="A135" s="309" t="s">
        <v>405</v>
      </c>
      <c r="B135" s="309"/>
      <c r="C135" s="309">
        <v>0.84314188391622547</v>
      </c>
      <c r="D135" s="309"/>
      <c r="E135" s="309"/>
      <c r="F135" s="310">
        <v>0</v>
      </c>
      <c r="G135" s="309" t="s">
        <v>799</v>
      </c>
      <c r="H135" s="309"/>
      <c r="I135" s="309"/>
      <c r="J135" s="309"/>
    </row>
    <row r="136" spans="1:10" ht="15" x14ac:dyDescent="0.25">
      <c r="A136" s="309" t="s">
        <v>407</v>
      </c>
      <c r="B136" s="309" t="s">
        <v>408</v>
      </c>
      <c r="C136" s="309">
        <v>4.1530766504550677E-3</v>
      </c>
      <c r="D136" s="309"/>
      <c r="E136" s="309"/>
      <c r="F136" s="310">
        <v>0</v>
      </c>
      <c r="G136" s="309" t="s">
        <v>800</v>
      </c>
      <c r="H136" s="309"/>
      <c r="I136" s="309"/>
      <c r="J136" s="309"/>
    </row>
    <row r="137" spans="1:10" ht="15" x14ac:dyDescent="0.25">
      <c r="A137" s="309" t="s">
        <v>157</v>
      </c>
      <c r="B137" s="309"/>
      <c r="C137" s="309">
        <v>1.325E-2</v>
      </c>
      <c r="D137" s="309"/>
      <c r="E137" s="309"/>
      <c r="F137" s="310">
        <v>0</v>
      </c>
      <c r="G137" s="309" t="s">
        <v>159</v>
      </c>
      <c r="H137" s="309"/>
      <c r="I137" s="309"/>
      <c r="J137" s="309"/>
    </row>
    <row r="138" spans="1:10" ht="15" x14ac:dyDescent="0.25">
      <c r="A138" s="309" t="s">
        <v>410</v>
      </c>
      <c r="B138" s="309"/>
      <c r="C138" s="309">
        <v>0.21772433759999998</v>
      </c>
      <c r="D138" s="309"/>
      <c r="E138" s="309"/>
      <c r="F138" s="310">
        <v>0</v>
      </c>
      <c r="G138" s="309" t="s">
        <v>817</v>
      </c>
      <c r="H138" s="309"/>
      <c r="I138" s="309"/>
      <c r="J138" s="309"/>
    </row>
    <row r="139" spans="1:10" ht="15" x14ac:dyDescent="0.25">
      <c r="A139" s="309" t="s">
        <v>924</v>
      </c>
      <c r="B139" s="309" t="s">
        <v>1080</v>
      </c>
      <c r="C139" s="309">
        <v>3.7316569035345516E-5</v>
      </c>
      <c r="D139" s="309"/>
      <c r="E139" s="309"/>
      <c r="F139" s="310">
        <v>0</v>
      </c>
      <c r="G139" s="309" t="s">
        <v>925</v>
      </c>
      <c r="H139" s="309"/>
      <c r="I139" s="309"/>
      <c r="J139" s="309"/>
    </row>
    <row r="140" spans="1:10" ht="15" x14ac:dyDescent="0.25">
      <c r="A140" s="309" t="s">
        <v>454</v>
      </c>
      <c r="B140" s="309"/>
      <c r="C140" s="309">
        <v>1.3607774938288739</v>
      </c>
      <c r="D140" s="309"/>
      <c r="E140" s="309"/>
      <c r="F140" s="310">
        <v>0</v>
      </c>
      <c r="G140" s="309" t="s">
        <v>818</v>
      </c>
      <c r="H140" s="309"/>
      <c r="I140" s="309"/>
      <c r="J140" s="309"/>
    </row>
    <row r="141" spans="1:10" ht="15" x14ac:dyDescent="0.25">
      <c r="A141" s="309" t="s">
        <v>455</v>
      </c>
      <c r="B141" s="309" t="s">
        <v>696</v>
      </c>
      <c r="C141" s="309">
        <v>2.1428577472841557E-4</v>
      </c>
      <c r="D141" s="309"/>
      <c r="E141" s="309"/>
      <c r="F141" s="310">
        <v>0</v>
      </c>
      <c r="G141" s="309" t="s">
        <v>155</v>
      </c>
      <c r="H141" s="309"/>
      <c r="I141" s="309"/>
      <c r="J141" s="309"/>
    </row>
    <row r="142" spans="1:10" ht="15" x14ac:dyDescent="0.25">
      <c r="A142" s="309" t="s">
        <v>456</v>
      </c>
      <c r="B142" s="309"/>
      <c r="C142" s="309">
        <v>232.5</v>
      </c>
      <c r="D142" s="309"/>
      <c r="E142" s="309"/>
      <c r="F142" s="310">
        <v>0</v>
      </c>
      <c r="G142" s="309" t="s">
        <v>160</v>
      </c>
      <c r="H142" s="309"/>
      <c r="I142" s="309"/>
      <c r="J142" s="309"/>
    </row>
    <row r="143" spans="1:10" ht="15" x14ac:dyDescent="0.25">
      <c r="A143" s="309" t="s">
        <v>457</v>
      </c>
      <c r="B143" s="309"/>
      <c r="C143" s="309">
        <v>75</v>
      </c>
      <c r="D143" s="309"/>
      <c r="E143" s="309"/>
      <c r="F143" s="310">
        <v>0</v>
      </c>
      <c r="G143" s="309" t="s">
        <v>161</v>
      </c>
      <c r="H143" s="309"/>
      <c r="I143" s="309"/>
      <c r="J143" s="309"/>
    </row>
    <row r="144" spans="1:10" ht="15" x14ac:dyDescent="0.25">
      <c r="A144" s="309" t="s">
        <v>458</v>
      </c>
      <c r="B144" s="309"/>
      <c r="C144" s="309">
        <v>130</v>
      </c>
      <c r="D144" s="309"/>
      <c r="E144" s="309"/>
      <c r="F144" s="310">
        <v>0</v>
      </c>
      <c r="G144" s="309" t="s">
        <v>162</v>
      </c>
      <c r="H144" s="309"/>
      <c r="I144" s="309"/>
      <c r="J144" s="309"/>
    </row>
    <row r="145" spans="1:10" ht="15" x14ac:dyDescent="0.25">
      <c r="A145" s="309" t="s">
        <v>459</v>
      </c>
      <c r="B145" s="309" t="s">
        <v>147</v>
      </c>
      <c r="C145" s="309">
        <v>2.8163448328562654E-3</v>
      </c>
      <c r="D145" s="309"/>
      <c r="E145" s="309"/>
      <c r="F145" s="310">
        <v>0</v>
      </c>
      <c r="G145" s="309" t="s">
        <v>801</v>
      </c>
      <c r="H145" s="309"/>
      <c r="I145" s="309"/>
      <c r="J145" s="309"/>
    </row>
    <row r="146" spans="1:10" ht="15" x14ac:dyDescent="0.25">
      <c r="A146" s="309" t="s">
        <v>460</v>
      </c>
      <c r="B146" s="309" t="s">
        <v>148</v>
      </c>
      <c r="C146" s="309">
        <v>9.0849833317944041E-4</v>
      </c>
      <c r="D146" s="309"/>
      <c r="E146" s="309"/>
      <c r="F146" s="310">
        <v>0</v>
      </c>
      <c r="G146" s="309" t="s">
        <v>802</v>
      </c>
      <c r="H146" s="309"/>
      <c r="I146" s="309"/>
      <c r="J146" s="309"/>
    </row>
    <row r="147" spans="1:10" ht="15" x14ac:dyDescent="0.25">
      <c r="A147" s="309" t="s">
        <v>461</v>
      </c>
      <c r="B147" s="309" t="s">
        <v>149</v>
      </c>
      <c r="C147" s="309">
        <v>1.5747304441776967E-3</v>
      </c>
      <c r="D147" s="309"/>
      <c r="E147" s="309"/>
      <c r="F147" s="310">
        <v>0</v>
      </c>
      <c r="G147" s="309" t="s">
        <v>803</v>
      </c>
      <c r="H147" s="309"/>
      <c r="I147" s="309"/>
      <c r="J147" s="309"/>
    </row>
    <row r="148" spans="1:10" ht="15" x14ac:dyDescent="0.25">
      <c r="A148" s="309" t="s">
        <v>462</v>
      </c>
      <c r="B148" s="309"/>
      <c r="C148" s="309">
        <v>272560.72604484676</v>
      </c>
      <c r="D148" s="309"/>
      <c r="E148" s="309"/>
      <c r="F148" s="310">
        <v>0</v>
      </c>
      <c r="G148" s="309" t="s">
        <v>804</v>
      </c>
      <c r="H148" s="309"/>
      <c r="I148" s="309"/>
      <c r="J148" s="309"/>
    </row>
    <row r="149" spans="1:10" ht="15" x14ac:dyDescent="0.25">
      <c r="A149" s="309" t="s">
        <v>463</v>
      </c>
      <c r="B149" s="309"/>
      <c r="C149" s="309">
        <v>272560.72604484676</v>
      </c>
      <c r="D149" s="309"/>
      <c r="E149" s="309"/>
      <c r="F149" s="310">
        <v>0</v>
      </c>
      <c r="G149" s="309" t="s">
        <v>805</v>
      </c>
      <c r="H149" s="309"/>
      <c r="I149" s="309"/>
      <c r="J149" s="309"/>
    </row>
    <row r="150" spans="1:10" ht="15" x14ac:dyDescent="0.25">
      <c r="A150" s="309" t="s">
        <v>464</v>
      </c>
      <c r="B150" s="309"/>
      <c r="C150" s="309">
        <v>2210787.7699303064</v>
      </c>
      <c r="D150" s="309"/>
      <c r="E150" s="309"/>
      <c r="F150" s="310">
        <v>0</v>
      </c>
      <c r="G150" s="309" t="s">
        <v>806</v>
      </c>
      <c r="H150" s="309"/>
      <c r="I150" s="309"/>
      <c r="J150" s="309"/>
    </row>
    <row r="151" spans="1:10" ht="15" x14ac:dyDescent="0.25">
      <c r="A151" s="309" t="s">
        <v>465</v>
      </c>
      <c r="B151" s="309"/>
      <c r="C151" s="309">
        <v>70314.130297500014</v>
      </c>
      <c r="D151" s="309"/>
      <c r="E151" s="309"/>
      <c r="F151" s="310">
        <v>0</v>
      </c>
      <c r="G151" s="309" t="s">
        <v>807</v>
      </c>
      <c r="H151" s="309"/>
      <c r="I151" s="309"/>
      <c r="J151" s="309"/>
    </row>
    <row r="152" spans="1:10" ht="15" x14ac:dyDescent="0.25">
      <c r="A152" s="309" t="s">
        <v>466</v>
      </c>
      <c r="B152" s="309" t="s">
        <v>698</v>
      </c>
      <c r="C152" s="309">
        <v>42.920967318999708</v>
      </c>
      <c r="D152" s="309"/>
      <c r="E152" s="309"/>
      <c r="F152" s="310">
        <v>0</v>
      </c>
      <c r="G152" s="309" t="s">
        <v>808</v>
      </c>
      <c r="H152" s="309"/>
      <c r="I152" s="309"/>
      <c r="J152" s="309"/>
    </row>
    <row r="153" spans="1:10" ht="15" x14ac:dyDescent="0.25">
      <c r="A153" s="309" t="s">
        <v>467</v>
      </c>
      <c r="B153" s="309" t="s">
        <v>699</v>
      </c>
      <c r="C153" s="309">
        <v>42.920967318999708</v>
      </c>
      <c r="D153" s="309"/>
      <c r="E153" s="309"/>
      <c r="F153" s="310">
        <v>0</v>
      </c>
      <c r="G153" s="309" t="s">
        <v>809</v>
      </c>
      <c r="H153" s="309"/>
      <c r="I153" s="309"/>
      <c r="J153" s="309"/>
    </row>
    <row r="154" spans="1:10" ht="15" x14ac:dyDescent="0.25">
      <c r="A154" s="309" t="s">
        <v>468</v>
      </c>
      <c r="B154" s="309" t="s">
        <v>700</v>
      </c>
      <c r="C154" s="309">
        <v>348.1394806924971</v>
      </c>
      <c r="D154" s="309"/>
      <c r="E154" s="309"/>
      <c r="F154" s="310">
        <v>0</v>
      </c>
      <c r="G154" s="309" t="s">
        <v>810</v>
      </c>
      <c r="H154" s="309"/>
      <c r="I154" s="309"/>
      <c r="J154" s="309"/>
    </row>
    <row r="155" spans="1:10" ht="15" x14ac:dyDescent="0.25">
      <c r="A155" s="309" t="s">
        <v>469</v>
      </c>
      <c r="B155" s="309" t="s">
        <v>701</v>
      </c>
      <c r="C155" s="309">
        <v>11.072580163535065</v>
      </c>
      <c r="D155" s="309"/>
      <c r="E155" s="309"/>
      <c r="F155" s="310">
        <v>0</v>
      </c>
      <c r="G155" s="309" t="s">
        <v>811</v>
      </c>
      <c r="H155" s="309"/>
      <c r="I155" s="309"/>
      <c r="J155" s="309"/>
    </row>
    <row r="156" spans="1:10" ht="15" x14ac:dyDescent="0.25">
      <c r="A156" s="309" t="s">
        <v>470</v>
      </c>
      <c r="B156" s="309"/>
      <c r="C156" s="309">
        <v>0.22176773236678321</v>
      </c>
      <c r="D156" s="309"/>
      <c r="E156" s="309"/>
      <c r="F156" s="310">
        <v>0</v>
      </c>
      <c r="G156" s="309" t="s">
        <v>812</v>
      </c>
      <c r="H156" s="309"/>
      <c r="I156" s="309"/>
      <c r="J156" s="309"/>
    </row>
    <row r="157" spans="1:10" ht="15" x14ac:dyDescent="0.25">
      <c r="A157" s="309" t="s">
        <v>471</v>
      </c>
      <c r="B157" s="309"/>
      <c r="C157" s="309">
        <v>2.3502896959141109E-4</v>
      </c>
      <c r="D157" s="309"/>
      <c r="E157" s="309"/>
      <c r="F157" s="310">
        <v>0</v>
      </c>
      <c r="G157" s="309" t="s">
        <v>813</v>
      </c>
      <c r="H157" s="309"/>
      <c r="I157" s="309"/>
      <c r="J157" s="309"/>
    </row>
    <row r="158" spans="1:10" ht="15" x14ac:dyDescent="0.25">
      <c r="A158" s="309" t="s">
        <v>472</v>
      </c>
      <c r="B158" s="309" t="s">
        <v>702</v>
      </c>
      <c r="C158" s="309">
        <v>3.4922439969422509E-5</v>
      </c>
      <c r="D158" s="309"/>
      <c r="E158" s="309"/>
      <c r="F158" s="310">
        <v>0</v>
      </c>
      <c r="G158" s="309" t="s">
        <v>814</v>
      </c>
      <c r="H158" s="309"/>
      <c r="I158" s="309"/>
      <c r="J158" s="309"/>
    </row>
    <row r="159" spans="1:10" ht="15" x14ac:dyDescent="0.25">
      <c r="A159" s="309" t="s">
        <v>473</v>
      </c>
      <c r="B159" s="309" t="s">
        <v>703</v>
      </c>
      <c r="C159" s="309">
        <v>3.7010727367930918E-8</v>
      </c>
      <c r="D159" s="309"/>
      <c r="E159" s="309"/>
      <c r="F159" s="310">
        <v>0</v>
      </c>
      <c r="G159" s="309" t="s">
        <v>815</v>
      </c>
      <c r="H159" s="309"/>
      <c r="I159" s="309"/>
      <c r="J159" s="309"/>
    </row>
    <row r="160" spans="1:10" ht="15" x14ac:dyDescent="0.25">
      <c r="A160" s="309" t="s">
        <v>1084</v>
      </c>
      <c r="B160" s="309" t="s">
        <v>1086</v>
      </c>
      <c r="C160" s="309">
        <v>3.4285714285714277E-5</v>
      </c>
      <c r="D160" s="309"/>
      <c r="E160" s="309"/>
      <c r="F160" s="310">
        <v>0</v>
      </c>
      <c r="G160" s="309" t="s">
        <v>1085</v>
      </c>
      <c r="H160" s="309"/>
      <c r="I160" s="309"/>
      <c r="J160" s="309"/>
    </row>
    <row r="161" spans="1:10" ht="15" x14ac:dyDescent="0.25">
      <c r="A161" t="s">
        <v>243</v>
      </c>
      <c r="B161" s="309" t="s">
        <v>250</v>
      </c>
    </row>
    <row r="162" spans="1:10" x14ac:dyDescent="0.2">
      <c r="A162" t="s">
        <v>1029</v>
      </c>
    </row>
    <row r="163" spans="1:10" x14ac:dyDescent="0.2">
      <c r="A163" s="305" t="s">
        <v>233</v>
      </c>
      <c r="B163" t="s">
        <v>1030</v>
      </c>
      <c r="C163" t="s">
        <v>1031</v>
      </c>
      <c r="D163" t="s">
        <v>214</v>
      </c>
      <c r="E163" t="s">
        <v>234</v>
      </c>
      <c r="F163" t="s">
        <v>235</v>
      </c>
      <c r="G163" t="s">
        <v>1032</v>
      </c>
      <c r="H163" t="s">
        <v>1026</v>
      </c>
      <c r="I163" t="s">
        <v>237</v>
      </c>
      <c r="J163" t="s">
        <v>1033</v>
      </c>
    </row>
    <row r="164" spans="1:10" ht="15" x14ac:dyDescent="0.25">
      <c r="A164" s="309"/>
      <c r="B164" s="309" t="s">
        <v>481</v>
      </c>
      <c r="C164" s="309"/>
      <c r="D164" s="309">
        <v>1</v>
      </c>
      <c r="E164" s="309">
        <v>1</v>
      </c>
      <c r="F164" s="309" t="s">
        <v>289</v>
      </c>
      <c r="G164" s="309" t="s">
        <v>280</v>
      </c>
      <c r="H164" s="310">
        <v>0</v>
      </c>
      <c r="I164" s="309" t="s">
        <v>253</v>
      </c>
      <c r="J164" s="309" t="s">
        <v>704</v>
      </c>
    </row>
    <row r="165" spans="1:10" ht="15" x14ac:dyDescent="0.25">
      <c r="A165" s="309" t="s">
        <v>125</v>
      </c>
      <c r="B165" s="309" t="s">
        <v>128</v>
      </c>
      <c r="C165" s="309"/>
      <c r="D165" s="309">
        <v>3.0251837994667197E-3</v>
      </c>
      <c r="E165" s="309">
        <v>1</v>
      </c>
      <c r="F165" s="309" t="s">
        <v>117</v>
      </c>
      <c r="G165" s="309" t="s">
        <v>280</v>
      </c>
      <c r="H165" s="310">
        <v>0</v>
      </c>
      <c r="I165" s="309" t="s">
        <v>255</v>
      </c>
      <c r="J165" s="309" t="s">
        <v>129</v>
      </c>
    </row>
    <row r="166" spans="1:10" ht="15" x14ac:dyDescent="0.25">
      <c r="A166" s="309" t="s">
        <v>407</v>
      </c>
      <c r="B166" s="309" t="s">
        <v>917</v>
      </c>
      <c r="C166" s="309"/>
      <c r="D166" s="309">
        <v>4.1530766504550677E-3</v>
      </c>
      <c r="E166" s="309">
        <v>1</v>
      </c>
      <c r="F166" s="309" t="s">
        <v>289</v>
      </c>
      <c r="G166" s="309" t="s">
        <v>280</v>
      </c>
      <c r="H166" s="310">
        <v>0</v>
      </c>
      <c r="I166" s="309" t="s">
        <v>255</v>
      </c>
      <c r="J166" s="309" t="s">
        <v>922</v>
      </c>
    </row>
    <row r="167" spans="1:10" ht="15" x14ac:dyDescent="0.25">
      <c r="A167" s="309" t="s">
        <v>459</v>
      </c>
      <c r="B167" s="309" t="s">
        <v>474</v>
      </c>
      <c r="C167" s="309"/>
      <c r="D167" s="309">
        <v>2.8163448328562654E-3</v>
      </c>
      <c r="E167" s="309">
        <v>1</v>
      </c>
      <c r="F167" s="309" t="s">
        <v>289</v>
      </c>
      <c r="G167" s="309" t="s">
        <v>280</v>
      </c>
      <c r="H167" s="310">
        <v>0</v>
      </c>
      <c r="I167" s="309" t="s">
        <v>255</v>
      </c>
      <c r="J167" s="309" t="s">
        <v>823</v>
      </c>
    </row>
    <row r="168" spans="1:10" ht="15" x14ac:dyDescent="0.25">
      <c r="A168" s="309" t="s">
        <v>460</v>
      </c>
      <c r="B168" s="309" t="s">
        <v>475</v>
      </c>
      <c r="C168" s="309"/>
      <c r="D168" s="309">
        <v>9.0849833317944041E-4</v>
      </c>
      <c r="E168" s="309">
        <v>1</v>
      </c>
      <c r="F168" s="309" t="s">
        <v>289</v>
      </c>
      <c r="G168" s="309" t="s">
        <v>280</v>
      </c>
      <c r="H168" s="310">
        <v>0</v>
      </c>
      <c r="I168" s="309" t="s">
        <v>255</v>
      </c>
      <c r="J168" s="309" t="s">
        <v>822</v>
      </c>
    </row>
    <row r="169" spans="1:10" ht="15" x14ac:dyDescent="0.25">
      <c r="A169" s="309" t="s">
        <v>461</v>
      </c>
      <c r="B169" s="309" t="s">
        <v>476</v>
      </c>
      <c r="C169" s="309"/>
      <c r="D169" s="309">
        <v>1.5747304441776967E-3</v>
      </c>
      <c r="E169" s="309">
        <v>1</v>
      </c>
      <c r="F169" s="309" t="s">
        <v>289</v>
      </c>
      <c r="G169" s="309" t="s">
        <v>280</v>
      </c>
      <c r="H169" s="310">
        <v>0</v>
      </c>
      <c r="I169" s="309" t="s">
        <v>255</v>
      </c>
      <c r="J169" s="309" t="s">
        <v>821</v>
      </c>
    </row>
    <row r="170" spans="1:10" ht="15" x14ac:dyDescent="0.25">
      <c r="A170" s="309" t="s">
        <v>455</v>
      </c>
      <c r="B170" s="309" t="s">
        <v>1076</v>
      </c>
      <c r="C170" s="309"/>
      <c r="D170" s="309">
        <v>2.1428577472841557E-4</v>
      </c>
      <c r="E170" s="309">
        <v>1</v>
      </c>
      <c r="F170" s="309" t="s">
        <v>289</v>
      </c>
      <c r="G170" s="309" t="s">
        <v>281</v>
      </c>
      <c r="H170" s="310">
        <v>0</v>
      </c>
      <c r="I170" s="309" t="s">
        <v>255</v>
      </c>
      <c r="J170" s="309" t="s">
        <v>820</v>
      </c>
    </row>
    <row r="171" spans="1:10" ht="15" x14ac:dyDescent="0.25">
      <c r="A171" s="309" t="s">
        <v>466</v>
      </c>
      <c r="B171" s="309" t="s">
        <v>477</v>
      </c>
      <c r="C171" s="309"/>
      <c r="D171" s="309">
        <v>42.920967318999708</v>
      </c>
      <c r="E171" s="309">
        <v>1</v>
      </c>
      <c r="F171" s="309" t="s">
        <v>478</v>
      </c>
      <c r="G171" s="309"/>
      <c r="H171" s="310">
        <v>0</v>
      </c>
      <c r="I171" s="309" t="s">
        <v>255</v>
      </c>
      <c r="J171" s="309" t="s">
        <v>824</v>
      </c>
    </row>
    <row r="172" spans="1:10" ht="15" x14ac:dyDescent="0.25">
      <c r="A172" s="309" t="s">
        <v>467</v>
      </c>
      <c r="B172" s="309" t="s">
        <v>479</v>
      </c>
      <c r="C172" s="309"/>
      <c r="D172" s="309">
        <v>42.920967318999708</v>
      </c>
      <c r="E172" s="309">
        <v>1</v>
      </c>
      <c r="F172" s="309" t="s">
        <v>478</v>
      </c>
      <c r="G172" s="309"/>
      <c r="H172" s="310">
        <v>0</v>
      </c>
      <c r="I172" s="309" t="s">
        <v>255</v>
      </c>
      <c r="J172" s="309" t="s">
        <v>825</v>
      </c>
    </row>
    <row r="173" spans="1:10" ht="15" x14ac:dyDescent="0.25">
      <c r="A173" s="309" t="s">
        <v>468</v>
      </c>
      <c r="B173" s="309" t="s">
        <v>480</v>
      </c>
      <c r="C173" s="309"/>
      <c r="D173" s="309">
        <v>348.1394806924971</v>
      </c>
      <c r="E173" s="309">
        <v>1</v>
      </c>
      <c r="F173" s="309" t="s">
        <v>478</v>
      </c>
      <c r="G173" s="309"/>
      <c r="H173" s="310">
        <v>0</v>
      </c>
      <c r="I173" s="309" t="s">
        <v>255</v>
      </c>
      <c r="J173" s="309" t="s">
        <v>826</v>
      </c>
    </row>
    <row r="174" spans="1:10" x14ac:dyDescent="0.2">
      <c r="A174" t="s">
        <v>1034</v>
      </c>
    </row>
    <row r="175" spans="1:10" x14ac:dyDescent="0.2">
      <c r="A175" s="305" t="s">
        <v>233</v>
      </c>
      <c r="B175" t="s">
        <v>1030</v>
      </c>
      <c r="C175" t="s">
        <v>1031</v>
      </c>
      <c r="D175" t="s">
        <v>214</v>
      </c>
      <c r="E175" t="s">
        <v>234</v>
      </c>
      <c r="F175" t="s">
        <v>235</v>
      </c>
      <c r="G175" t="s">
        <v>1032</v>
      </c>
      <c r="H175" t="s">
        <v>1026</v>
      </c>
      <c r="I175" t="s">
        <v>237</v>
      </c>
      <c r="J175" t="s">
        <v>1033</v>
      </c>
    </row>
    <row r="176" spans="1:10" ht="15" x14ac:dyDescent="0.25">
      <c r="A176" s="309"/>
      <c r="B176" s="309" t="s">
        <v>481</v>
      </c>
      <c r="C176" s="309"/>
      <c r="D176" s="309">
        <v>1</v>
      </c>
      <c r="E176" s="309">
        <v>1</v>
      </c>
      <c r="F176" s="309" t="s">
        <v>289</v>
      </c>
      <c r="G176" s="309" t="s">
        <v>280</v>
      </c>
      <c r="H176" s="310">
        <v>0</v>
      </c>
      <c r="I176" s="309" t="s">
        <v>253</v>
      </c>
      <c r="J176" s="309" t="s">
        <v>22</v>
      </c>
    </row>
    <row r="177" spans="1:10" ht="15" x14ac:dyDescent="0.25">
      <c r="A177" s="309" t="s">
        <v>695</v>
      </c>
      <c r="B177" s="309" t="s">
        <v>705</v>
      </c>
      <c r="C177" s="309"/>
      <c r="D177" s="309">
        <v>-0.98689083733670835</v>
      </c>
      <c r="E177" s="309">
        <v>-1</v>
      </c>
      <c r="F177" s="309" t="s">
        <v>289</v>
      </c>
      <c r="G177" s="309"/>
      <c r="H177" s="310">
        <v>0</v>
      </c>
      <c r="I177" s="309" t="s">
        <v>255</v>
      </c>
      <c r="J177" s="309" t="s">
        <v>689</v>
      </c>
    </row>
    <row r="178" spans="1:10" ht="15" x14ac:dyDescent="0.25">
      <c r="A178" s="309" t="s">
        <v>924</v>
      </c>
      <c r="B178" s="309" t="s">
        <v>926</v>
      </c>
      <c r="C178" s="309"/>
      <c r="D178" s="309">
        <v>3.7316569035345516E-5</v>
      </c>
      <c r="E178" s="309">
        <v>1</v>
      </c>
      <c r="F178" s="309" t="s">
        <v>289</v>
      </c>
      <c r="G178" s="309"/>
      <c r="H178" s="310">
        <v>0</v>
      </c>
      <c r="I178" s="309" t="s">
        <v>255</v>
      </c>
      <c r="J178" s="309" t="s">
        <v>689</v>
      </c>
    </row>
    <row r="179" spans="1:10" ht="15" x14ac:dyDescent="0.25">
      <c r="A179" s="309" t="s">
        <v>1084</v>
      </c>
      <c r="B179" s="309" t="s">
        <v>927</v>
      </c>
      <c r="C179" s="309"/>
      <c r="D179" s="309">
        <v>3.4285714285714277E-5</v>
      </c>
      <c r="E179" s="309">
        <v>1</v>
      </c>
      <c r="F179" s="309" t="s">
        <v>289</v>
      </c>
      <c r="G179" s="309"/>
      <c r="H179" s="310">
        <v>0</v>
      </c>
      <c r="I179" s="309" t="s">
        <v>255</v>
      </c>
      <c r="J179" s="309" t="s">
        <v>689</v>
      </c>
    </row>
    <row r="180" spans="1:10" ht="15" x14ac:dyDescent="0.25">
      <c r="A180" s="309" t="s">
        <v>472</v>
      </c>
      <c r="B180" s="309" t="s">
        <v>482</v>
      </c>
      <c r="C180" s="309"/>
      <c r="D180" s="309">
        <v>3.4922439969422509E-5</v>
      </c>
      <c r="E180" s="309">
        <v>1</v>
      </c>
      <c r="F180" s="309" t="s">
        <v>289</v>
      </c>
      <c r="G180" s="309"/>
      <c r="H180" s="310">
        <v>0</v>
      </c>
      <c r="I180" s="309" t="s">
        <v>255</v>
      </c>
      <c r="J180" s="309" t="s">
        <v>688</v>
      </c>
    </row>
    <row r="181" spans="1:10" ht="15" x14ac:dyDescent="0.25">
      <c r="A181" s="309" t="s">
        <v>473</v>
      </c>
      <c r="B181" s="309" t="s">
        <v>483</v>
      </c>
      <c r="C181" s="309"/>
      <c r="D181" s="309">
        <v>3.7010727367930918E-8</v>
      </c>
      <c r="E181" s="309">
        <v>1</v>
      </c>
      <c r="F181" s="309" t="s">
        <v>289</v>
      </c>
      <c r="G181" s="309"/>
      <c r="H181" s="310">
        <v>0</v>
      </c>
      <c r="I181" s="309" t="s">
        <v>255</v>
      </c>
      <c r="J181" s="309" t="s">
        <v>688</v>
      </c>
    </row>
    <row r="182" spans="1:10" ht="15" x14ac:dyDescent="0.25">
      <c r="A182" s="309" t="s">
        <v>469</v>
      </c>
      <c r="B182" s="309" t="s">
        <v>484</v>
      </c>
      <c r="C182" s="309"/>
      <c r="D182" s="309">
        <v>11.072580163535065</v>
      </c>
      <c r="E182" s="309">
        <v>1</v>
      </c>
      <c r="F182" s="309" t="s">
        <v>478</v>
      </c>
      <c r="G182" s="309"/>
      <c r="H182" s="310">
        <v>0</v>
      </c>
      <c r="I182" s="309" t="s">
        <v>255</v>
      </c>
      <c r="J182" s="309" t="s">
        <v>827</v>
      </c>
    </row>
    <row r="183" spans="1:10" x14ac:dyDescent="0.2">
      <c r="A183" t="s">
        <v>1033</v>
      </c>
    </row>
    <row r="185" spans="1:10" x14ac:dyDescent="0.2">
      <c r="A185" t="s">
        <v>1035</v>
      </c>
    </row>
    <row r="186" spans="1:10" x14ac:dyDescent="0.2">
      <c r="A186" s="305" t="s">
        <v>233</v>
      </c>
      <c r="B186" t="s">
        <v>1030</v>
      </c>
      <c r="C186" t="s">
        <v>1036</v>
      </c>
      <c r="D186" t="s">
        <v>214</v>
      </c>
      <c r="E186" t="s">
        <v>1037</v>
      </c>
      <c r="F186" t="s">
        <v>235</v>
      </c>
      <c r="G186" t="s">
        <v>1038</v>
      </c>
      <c r="H186" t="s">
        <v>1039</v>
      </c>
      <c r="I186" t="s">
        <v>235</v>
      </c>
    </row>
    <row r="187" spans="1:10" x14ac:dyDescent="0.2">
      <c r="A187" t="s">
        <v>1040</v>
      </c>
    </row>
    <row r="188" spans="1:10" x14ac:dyDescent="0.2">
      <c r="A188" s="305" t="s">
        <v>233</v>
      </c>
      <c r="B188" t="s">
        <v>1041</v>
      </c>
      <c r="C188" t="s">
        <v>1042</v>
      </c>
      <c r="D188" t="s">
        <v>235</v>
      </c>
      <c r="E188" s="305" t="s">
        <v>1043</v>
      </c>
      <c r="F188" t="s">
        <v>235</v>
      </c>
      <c r="G188" t="s">
        <v>1038</v>
      </c>
      <c r="H188" t="s">
        <v>1039</v>
      </c>
      <c r="I188" t="s">
        <v>235</v>
      </c>
    </row>
    <row r="189" spans="1:10" x14ac:dyDescent="0.2">
      <c r="A189" t="s">
        <v>1044</v>
      </c>
    </row>
    <row r="190" spans="1:10" x14ac:dyDescent="0.2">
      <c r="A190" s="305" t="s">
        <v>233</v>
      </c>
      <c r="B190" t="s">
        <v>1045</v>
      </c>
      <c r="C190" t="s">
        <v>1042</v>
      </c>
      <c r="D190" t="s">
        <v>235</v>
      </c>
      <c r="E190" t="s">
        <v>1046</v>
      </c>
      <c r="F190" t="s">
        <v>235</v>
      </c>
      <c r="G190" t="s">
        <v>1038</v>
      </c>
      <c r="H190" t="s">
        <v>1039</v>
      </c>
      <c r="I190" t="s">
        <v>235</v>
      </c>
    </row>
    <row r="191" spans="1:10" x14ac:dyDescent="0.2">
      <c r="A191" t="s">
        <v>1047</v>
      </c>
    </row>
    <row r="192" spans="1:10" x14ac:dyDescent="0.2">
      <c r="A192" t="s">
        <v>1048</v>
      </c>
      <c r="B192">
        <v>1</v>
      </c>
    </row>
    <row r="193" spans="1:10" x14ac:dyDescent="0.2">
      <c r="A193" t="s">
        <v>955</v>
      </c>
      <c r="B193">
        <v>2012</v>
      </c>
    </row>
    <row r="194" spans="1:10" x14ac:dyDescent="0.2">
      <c r="A194" t="s">
        <v>243</v>
      </c>
      <c r="B194" t="s">
        <v>1028</v>
      </c>
    </row>
    <row r="195" spans="1:10" x14ac:dyDescent="0.2">
      <c r="A195" t="s">
        <v>1033</v>
      </c>
    </row>
    <row r="197" spans="1:10" x14ac:dyDescent="0.2">
      <c r="A197" t="s">
        <v>1049</v>
      </c>
    </row>
    <row r="198" spans="1:10" x14ac:dyDescent="0.2">
      <c r="A198" t="s">
        <v>1030</v>
      </c>
      <c r="B198" t="s">
        <v>1031</v>
      </c>
      <c r="C198" t="s">
        <v>1050</v>
      </c>
      <c r="D198" t="s">
        <v>235</v>
      </c>
      <c r="E198" t="s">
        <v>1026</v>
      </c>
      <c r="F198" t="s">
        <v>237</v>
      </c>
      <c r="G198" t="s">
        <v>1051</v>
      </c>
      <c r="H198" t="s">
        <v>235</v>
      </c>
      <c r="I198" t="s">
        <v>1026</v>
      </c>
      <c r="J198" t="s">
        <v>237</v>
      </c>
    </row>
    <row r="199" spans="1:10" x14ac:dyDescent="0.2">
      <c r="A199" t="s">
        <v>1052</v>
      </c>
      <c r="B199" t="s">
        <v>1053</v>
      </c>
      <c r="C199">
        <v>0</v>
      </c>
      <c r="D199" t="s">
        <v>1054</v>
      </c>
      <c r="E199" s="308">
        <v>0</v>
      </c>
      <c r="F199" t="s">
        <v>1055</v>
      </c>
      <c r="G199">
        <v>0</v>
      </c>
      <c r="H199" t="s">
        <v>1054</v>
      </c>
      <c r="I199" s="308">
        <v>0</v>
      </c>
      <c r="J199" t="s">
        <v>1055</v>
      </c>
    </row>
    <row r="200" spans="1:10" x14ac:dyDescent="0.2">
      <c r="A200" t="s">
        <v>1056</v>
      </c>
      <c r="B200" t="s">
        <v>1053</v>
      </c>
      <c r="C200">
        <v>0</v>
      </c>
      <c r="D200" t="s">
        <v>1054</v>
      </c>
      <c r="E200" s="308">
        <v>0</v>
      </c>
      <c r="F200" t="s">
        <v>1055</v>
      </c>
      <c r="G200">
        <v>0</v>
      </c>
      <c r="H200" t="s">
        <v>1054</v>
      </c>
      <c r="I200" s="308">
        <v>0</v>
      </c>
      <c r="J200" t="s">
        <v>1055</v>
      </c>
    </row>
    <row r="201" spans="1:10" x14ac:dyDescent="0.2">
      <c r="A201" t="s">
        <v>1057</v>
      </c>
      <c r="B201" t="s">
        <v>1053</v>
      </c>
      <c r="C201">
        <v>0</v>
      </c>
      <c r="D201" t="s">
        <v>1054</v>
      </c>
      <c r="E201" s="308">
        <v>0</v>
      </c>
      <c r="F201" t="s">
        <v>1055</v>
      </c>
      <c r="G201">
        <v>0</v>
      </c>
      <c r="H201" t="s">
        <v>1054</v>
      </c>
      <c r="I201" s="308">
        <v>0</v>
      </c>
      <c r="J201" t="s">
        <v>1055</v>
      </c>
    </row>
    <row r="202" spans="1:10" x14ac:dyDescent="0.2">
      <c r="A202" t="s">
        <v>1058</v>
      </c>
      <c r="B202" t="s">
        <v>1053</v>
      </c>
      <c r="C202">
        <v>0</v>
      </c>
      <c r="D202" t="s">
        <v>1054</v>
      </c>
      <c r="E202" s="308">
        <v>0</v>
      </c>
      <c r="F202" t="s">
        <v>1055</v>
      </c>
      <c r="G202">
        <v>0</v>
      </c>
      <c r="H202" t="s">
        <v>1054</v>
      </c>
      <c r="I202" s="308">
        <v>0</v>
      </c>
      <c r="J202" t="s">
        <v>1055</v>
      </c>
    </row>
    <row r="203" spans="1:10" x14ac:dyDescent="0.2">
      <c r="A203" t="s">
        <v>1059</v>
      </c>
      <c r="B203" t="s">
        <v>1053</v>
      </c>
      <c r="C203">
        <v>0</v>
      </c>
      <c r="D203" t="s">
        <v>1054</v>
      </c>
      <c r="E203" s="308">
        <v>0</v>
      </c>
      <c r="F203" t="s">
        <v>1055</v>
      </c>
      <c r="G203">
        <v>0</v>
      </c>
      <c r="H203" t="s">
        <v>1054</v>
      </c>
      <c r="I203" s="308">
        <v>0</v>
      </c>
      <c r="J203" t="s">
        <v>1055</v>
      </c>
    </row>
    <row r="204" spans="1:10" x14ac:dyDescent="0.2">
      <c r="A204" t="s">
        <v>1060</v>
      </c>
    </row>
    <row r="205" spans="1:10" x14ac:dyDescent="0.2">
      <c r="A205" t="s">
        <v>1030</v>
      </c>
      <c r="B205" t="s">
        <v>1031</v>
      </c>
      <c r="C205" t="s">
        <v>1050</v>
      </c>
      <c r="D205" t="s">
        <v>235</v>
      </c>
      <c r="E205" t="s">
        <v>1026</v>
      </c>
      <c r="F205" t="s">
        <v>237</v>
      </c>
      <c r="G205" t="s">
        <v>1051</v>
      </c>
      <c r="H205" t="s">
        <v>235</v>
      </c>
      <c r="I205" t="s">
        <v>1026</v>
      </c>
      <c r="J205" t="s">
        <v>237</v>
      </c>
    </row>
    <row r="206" spans="1:10" x14ac:dyDescent="0.2">
      <c r="A206" t="s">
        <v>1061</v>
      </c>
      <c r="B206" t="s">
        <v>1062</v>
      </c>
      <c r="C206">
        <v>0</v>
      </c>
      <c r="D206" t="s">
        <v>1063</v>
      </c>
      <c r="E206" s="308">
        <v>0</v>
      </c>
      <c r="F206" t="s">
        <v>1055</v>
      </c>
      <c r="G206">
        <v>0</v>
      </c>
      <c r="H206" t="s">
        <v>1063</v>
      </c>
      <c r="I206" s="308">
        <v>0</v>
      </c>
      <c r="J206" t="s">
        <v>1055</v>
      </c>
    </row>
    <row r="207" spans="1:10" x14ac:dyDescent="0.2">
      <c r="A207" t="s">
        <v>1064</v>
      </c>
      <c r="B207" t="s">
        <v>1062</v>
      </c>
      <c r="C207">
        <v>0</v>
      </c>
      <c r="D207" t="s">
        <v>1063</v>
      </c>
      <c r="E207" s="308">
        <v>0</v>
      </c>
      <c r="F207" t="s">
        <v>1055</v>
      </c>
      <c r="G207">
        <v>0</v>
      </c>
      <c r="H207" t="s">
        <v>1063</v>
      </c>
      <c r="I207" s="308">
        <v>0</v>
      </c>
      <c r="J207" t="s">
        <v>1055</v>
      </c>
    </row>
    <row r="208" spans="1:10" x14ac:dyDescent="0.2">
      <c r="A208" t="s">
        <v>1065</v>
      </c>
      <c r="B208" t="s">
        <v>1053</v>
      </c>
      <c r="C208">
        <v>0</v>
      </c>
      <c r="D208" t="s">
        <v>1054</v>
      </c>
      <c r="E208" s="308">
        <v>0</v>
      </c>
      <c r="F208" t="s">
        <v>1055</v>
      </c>
      <c r="G208">
        <v>0</v>
      </c>
      <c r="H208" t="s">
        <v>1054</v>
      </c>
      <c r="I208" s="308">
        <v>0</v>
      </c>
      <c r="J208" t="s">
        <v>1055</v>
      </c>
    </row>
    <row r="209" spans="1:10" x14ac:dyDescent="0.2">
      <c r="A209" t="s">
        <v>1066</v>
      </c>
    </row>
    <row r="210" spans="1:10" x14ac:dyDescent="0.2">
      <c r="A210" t="s">
        <v>1030</v>
      </c>
      <c r="B210" t="s">
        <v>1031</v>
      </c>
      <c r="C210" t="s">
        <v>1050</v>
      </c>
      <c r="D210" t="s">
        <v>235</v>
      </c>
      <c r="E210" t="s">
        <v>1026</v>
      </c>
      <c r="F210" t="s">
        <v>237</v>
      </c>
      <c r="G210" t="s">
        <v>1051</v>
      </c>
      <c r="H210" t="s">
        <v>235</v>
      </c>
      <c r="I210" t="s">
        <v>1026</v>
      </c>
      <c r="J210" t="s">
        <v>237</v>
      </c>
    </row>
    <row r="211" spans="1:10" x14ac:dyDescent="0.2">
      <c r="A211" t="s">
        <v>1067</v>
      </c>
      <c r="B211" t="s">
        <v>1053</v>
      </c>
      <c r="C211">
        <v>0</v>
      </c>
      <c r="D211" t="s">
        <v>1054</v>
      </c>
      <c r="E211" s="308">
        <v>0</v>
      </c>
      <c r="F211" t="s">
        <v>1055</v>
      </c>
      <c r="G211">
        <v>0</v>
      </c>
      <c r="H211" t="s">
        <v>1054</v>
      </c>
      <c r="I211" s="308">
        <v>0</v>
      </c>
      <c r="J211" t="s">
        <v>1055</v>
      </c>
    </row>
    <row r="212" spans="1:10" x14ac:dyDescent="0.2">
      <c r="A212" t="s">
        <v>1068</v>
      </c>
      <c r="B212" t="s">
        <v>1053</v>
      </c>
      <c r="C212">
        <v>0</v>
      </c>
      <c r="D212" t="s">
        <v>1054</v>
      </c>
      <c r="E212" s="308">
        <v>0</v>
      </c>
      <c r="F212" t="s">
        <v>1055</v>
      </c>
      <c r="G212">
        <v>0</v>
      </c>
      <c r="H212" t="s">
        <v>1054</v>
      </c>
      <c r="I212" s="308">
        <v>0</v>
      </c>
      <c r="J212" t="s">
        <v>1055</v>
      </c>
    </row>
    <row r="213" spans="1:10" x14ac:dyDescent="0.2">
      <c r="A213" t="s">
        <v>1069</v>
      </c>
      <c r="B213" t="s">
        <v>1053</v>
      </c>
      <c r="C213">
        <v>0</v>
      </c>
      <c r="D213" t="s">
        <v>1054</v>
      </c>
      <c r="E213" s="308">
        <v>0</v>
      </c>
      <c r="F213" t="s">
        <v>1055</v>
      </c>
      <c r="G213">
        <v>0</v>
      </c>
      <c r="H213" t="s">
        <v>1054</v>
      </c>
      <c r="I213" s="308">
        <v>0</v>
      </c>
      <c r="J213" t="s">
        <v>1055</v>
      </c>
    </row>
    <row r="214" spans="1:10" x14ac:dyDescent="0.2">
      <c r="A214" t="s">
        <v>1070</v>
      </c>
      <c r="B214" t="s">
        <v>1053</v>
      </c>
      <c r="C214">
        <v>0</v>
      </c>
      <c r="D214" t="s">
        <v>1054</v>
      </c>
      <c r="E214" s="308">
        <v>0</v>
      </c>
      <c r="F214" t="s">
        <v>1055</v>
      </c>
      <c r="G214">
        <v>0</v>
      </c>
      <c r="H214" t="s">
        <v>1054</v>
      </c>
      <c r="I214" s="308">
        <v>0</v>
      </c>
      <c r="J214" t="s">
        <v>1055</v>
      </c>
    </row>
    <row r="215" spans="1:10" x14ac:dyDescent="0.2">
      <c r="A215" t="s">
        <v>1071</v>
      </c>
      <c r="B215" t="s">
        <v>1053</v>
      </c>
      <c r="C215">
        <v>0</v>
      </c>
      <c r="D215" t="s">
        <v>1054</v>
      </c>
      <c r="E215" s="308">
        <v>0</v>
      </c>
      <c r="F215" t="s">
        <v>1055</v>
      </c>
      <c r="G215">
        <v>0</v>
      </c>
      <c r="H215" t="s">
        <v>1054</v>
      </c>
      <c r="I215" s="308">
        <v>0</v>
      </c>
      <c r="J215" t="s">
        <v>1055</v>
      </c>
    </row>
    <row r="216" spans="1:10" x14ac:dyDescent="0.2">
      <c r="A216" t="s">
        <v>1072</v>
      </c>
      <c r="B216" t="s">
        <v>1053</v>
      </c>
      <c r="C216">
        <v>0</v>
      </c>
      <c r="D216" t="s">
        <v>1054</v>
      </c>
      <c r="E216" s="308">
        <v>0</v>
      </c>
      <c r="F216" t="s">
        <v>1055</v>
      </c>
      <c r="G216">
        <v>0</v>
      </c>
      <c r="H216" t="s">
        <v>1054</v>
      </c>
      <c r="I216" s="308">
        <v>0</v>
      </c>
      <c r="J216" t="s">
        <v>1055</v>
      </c>
    </row>
    <row r="217" spans="1:10" x14ac:dyDescent="0.2">
      <c r="A217" t="s">
        <v>1073</v>
      </c>
      <c r="B217" t="s">
        <v>1053</v>
      </c>
      <c r="C217">
        <v>0</v>
      </c>
      <c r="D217" t="s">
        <v>1054</v>
      </c>
      <c r="E217" s="308">
        <v>0</v>
      </c>
      <c r="F217" t="s">
        <v>1055</v>
      </c>
      <c r="G217">
        <v>0</v>
      </c>
      <c r="H217" t="s">
        <v>1054</v>
      </c>
      <c r="I217" s="308">
        <v>0</v>
      </c>
      <c r="J217" t="s">
        <v>1055</v>
      </c>
    </row>
    <row r="218" spans="1:10" x14ac:dyDescent="0.2">
      <c r="A218" t="s">
        <v>1074</v>
      </c>
      <c r="B218" t="s">
        <v>1053</v>
      </c>
      <c r="C218">
        <v>0</v>
      </c>
      <c r="D218" t="s">
        <v>1054</v>
      </c>
      <c r="E218" s="308">
        <v>0</v>
      </c>
      <c r="F218" t="s">
        <v>1055</v>
      </c>
      <c r="G218">
        <v>0</v>
      </c>
      <c r="H218" t="s">
        <v>1054</v>
      </c>
      <c r="I218" s="308">
        <v>0</v>
      </c>
      <c r="J218" t="s">
        <v>1055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Y399"/>
  <sheetViews>
    <sheetView showGridLines="0" zoomScaleNormal="100" zoomScaleSheetLayoutView="85" workbookViewId="0">
      <selection activeCell="D14" sqref="D14:E14"/>
    </sheetView>
  </sheetViews>
  <sheetFormatPr defaultRowHeight="12.75" x14ac:dyDescent="0.2"/>
  <cols>
    <col min="1" max="1" width="3.140625" style="5" customWidth="1"/>
    <col min="2" max="2" width="2" style="1" customWidth="1"/>
    <col min="3" max="3" width="19.85546875" customWidth="1"/>
    <col min="4" max="4" width="56.85546875" customWidth="1"/>
    <col min="5" max="5" width="16.140625" customWidth="1"/>
    <col min="6" max="6" width="13.5703125" customWidth="1"/>
    <col min="7" max="7" width="12.42578125" customWidth="1"/>
    <col min="8" max="8" width="19.28515625" customWidth="1"/>
    <col min="9" max="9" width="12.7109375" style="5" customWidth="1"/>
    <col min="10" max="10" width="14.42578125" customWidth="1"/>
    <col min="11" max="11" width="9.28515625" customWidth="1"/>
    <col min="12" max="12" width="14.7109375" customWidth="1"/>
    <col min="13" max="13" width="13" customWidth="1"/>
    <col min="14" max="14" width="14.140625" customWidth="1"/>
    <col min="15" max="15" width="47.42578125" customWidth="1"/>
    <col min="16" max="16" width="2.140625" style="5" customWidth="1"/>
    <col min="17" max="24" width="9.140625" style="5"/>
  </cols>
  <sheetData>
    <row r="1" spans="1:24" ht="20.25" x14ac:dyDescent="0.3">
      <c r="B1" s="319" t="s">
        <v>50</v>
      </c>
      <c r="C1" s="319"/>
      <c r="D1" s="319"/>
      <c r="E1" s="319"/>
      <c r="F1" s="319"/>
      <c r="G1" s="319"/>
      <c r="H1" s="319"/>
      <c r="I1" s="319"/>
      <c r="J1" s="319"/>
      <c r="K1" s="319"/>
      <c r="L1" s="319"/>
      <c r="M1" s="319"/>
      <c r="N1" s="319"/>
      <c r="O1" s="319"/>
      <c r="P1" s="319"/>
    </row>
    <row r="2" spans="1:24" ht="20.25" x14ac:dyDescent="0.3">
      <c r="B2" s="319" t="s">
        <v>215</v>
      </c>
      <c r="C2" s="319"/>
      <c r="D2" s="319"/>
      <c r="E2" s="319"/>
      <c r="F2" s="319"/>
      <c r="G2" s="319"/>
      <c r="H2" s="319"/>
      <c r="I2" s="319"/>
      <c r="J2" s="319"/>
      <c r="K2" s="319"/>
      <c r="L2" s="319"/>
      <c r="M2" s="319"/>
      <c r="N2" s="319"/>
      <c r="O2" s="319"/>
      <c r="P2" s="319"/>
    </row>
    <row r="3" spans="1:24" ht="5.25" customHeight="1" x14ac:dyDescent="0.2">
      <c r="B3" s="4"/>
      <c r="C3" s="5"/>
      <c r="D3" s="5"/>
      <c r="E3" s="5"/>
      <c r="F3" s="5"/>
      <c r="G3" s="5"/>
      <c r="H3" s="5"/>
      <c r="J3" s="5"/>
      <c r="K3" s="5"/>
      <c r="L3" s="5"/>
      <c r="M3" s="5"/>
      <c r="N3" s="5"/>
      <c r="O3" s="5"/>
    </row>
    <row r="4" spans="1:24" s="5" customFormat="1" ht="13.5" thickBot="1" x14ac:dyDescent="0.25">
      <c r="B4" s="18" t="s">
        <v>216</v>
      </c>
      <c r="C4" s="18"/>
      <c r="D4" s="36" t="s">
        <v>51</v>
      </c>
      <c r="E4" s="21"/>
    </row>
    <row r="5" spans="1:24" ht="13.5" thickBot="1" x14ac:dyDescent="0.25">
      <c r="B5" s="18" t="s">
        <v>217</v>
      </c>
      <c r="C5" s="18"/>
      <c r="D5" s="16">
        <v>1</v>
      </c>
      <c r="E5" s="37" t="s">
        <v>289</v>
      </c>
      <c r="F5" s="10" t="s">
        <v>210</v>
      </c>
      <c r="G5" s="336" t="s">
        <v>156</v>
      </c>
      <c r="H5" s="337"/>
      <c r="I5" s="337"/>
      <c r="J5" s="338"/>
      <c r="K5" s="35" t="s">
        <v>316</v>
      </c>
      <c r="L5" s="33" t="str">
        <f>DQI!I9</f>
        <v>2,2,2,2,2</v>
      </c>
      <c r="M5" s="34"/>
      <c r="N5" s="300" t="s">
        <v>352</v>
      </c>
      <c r="O5" s="22"/>
    </row>
    <row r="6" spans="1:24" s="5" customFormat="1" ht="27.75" customHeight="1" x14ac:dyDescent="0.2">
      <c r="B6" s="18" t="s">
        <v>218</v>
      </c>
      <c r="C6" s="18"/>
      <c r="D6" s="339" t="s">
        <v>1144</v>
      </c>
      <c r="E6" s="340"/>
      <c r="F6" s="340"/>
      <c r="G6" s="340"/>
      <c r="H6" s="340"/>
      <c r="I6" s="340"/>
      <c r="J6" s="340"/>
      <c r="K6" s="340"/>
      <c r="L6" s="340"/>
      <c r="M6" s="341"/>
      <c r="N6" s="22"/>
      <c r="O6" s="22"/>
    </row>
    <row r="7" spans="1:24" ht="13.5" thickBot="1" x14ac:dyDescent="0.25">
      <c r="B7" s="4"/>
      <c r="C7" s="5"/>
      <c r="D7" s="5"/>
      <c r="E7" s="5"/>
      <c r="F7" s="5"/>
      <c r="G7" s="5"/>
      <c r="H7" s="5"/>
      <c r="J7" s="5"/>
      <c r="K7" s="5"/>
      <c r="L7" s="5"/>
      <c r="M7" s="5"/>
      <c r="N7" s="5"/>
      <c r="O7" s="5"/>
    </row>
    <row r="8" spans="1:24" s="2" customFormat="1" ht="13.5" thickBot="1" x14ac:dyDescent="0.25">
      <c r="A8" s="6"/>
      <c r="B8" s="348" t="s">
        <v>226</v>
      </c>
      <c r="C8" s="349"/>
      <c r="D8" s="349"/>
      <c r="E8" s="349"/>
      <c r="F8" s="349"/>
      <c r="G8" s="349"/>
      <c r="H8" s="349"/>
      <c r="I8" s="349"/>
      <c r="J8" s="349"/>
      <c r="K8" s="349"/>
      <c r="L8" s="349"/>
      <c r="M8" s="349"/>
      <c r="N8" s="349"/>
      <c r="O8" s="349"/>
      <c r="P8" s="349"/>
      <c r="Q8" s="350"/>
      <c r="R8" s="6"/>
      <c r="S8" s="6"/>
      <c r="T8" s="6"/>
      <c r="U8" s="6"/>
      <c r="V8" s="6"/>
      <c r="W8" s="6"/>
      <c r="X8" s="6"/>
    </row>
    <row r="9" spans="1:24" x14ac:dyDescent="0.2">
      <c r="B9" s="4"/>
      <c r="C9" s="5"/>
      <c r="D9" s="5"/>
      <c r="E9" s="5"/>
      <c r="F9" s="5"/>
      <c r="G9" s="5"/>
      <c r="H9" s="5"/>
      <c r="J9" s="5"/>
      <c r="K9" s="5"/>
      <c r="L9" s="5"/>
      <c r="M9" s="5"/>
      <c r="N9" s="5"/>
      <c r="O9" s="5"/>
    </row>
    <row r="10" spans="1:24" x14ac:dyDescent="0.2">
      <c r="B10" s="342" t="s">
        <v>219</v>
      </c>
      <c r="C10" s="343"/>
      <c r="D10" s="355" t="s">
        <v>353</v>
      </c>
      <c r="E10" s="356"/>
      <c r="F10" s="5"/>
      <c r="G10" s="5"/>
      <c r="H10" s="5"/>
      <c r="J10" s="5"/>
      <c r="K10" s="5"/>
      <c r="L10" s="5"/>
      <c r="M10" s="5"/>
      <c r="N10" s="5"/>
      <c r="O10" s="5"/>
    </row>
    <row r="11" spans="1:24" x14ac:dyDescent="0.2">
      <c r="B11" s="342" t="s">
        <v>277</v>
      </c>
      <c r="C11" s="343"/>
      <c r="D11" s="346" t="s">
        <v>451</v>
      </c>
      <c r="E11" s="347"/>
      <c r="F11" s="5"/>
      <c r="G11" s="5"/>
      <c r="H11" s="5"/>
      <c r="J11" s="5"/>
      <c r="K11" s="5"/>
      <c r="L11" s="5"/>
      <c r="M11" s="5"/>
      <c r="N11" s="5"/>
      <c r="O11" s="5"/>
    </row>
    <row r="12" spans="1:24" x14ac:dyDescent="0.2">
      <c r="B12" s="342" t="s">
        <v>220</v>
      </c>
      <c r="C12" s="343"/>
      <c r="D12" s="346">
        <v>2011</v>
      </c>
      <c r="E12" s="347"/>
      <c r="F12" s="5"/>
      <c r="G12" s="5"/>
      <c r="H12" s="5"/>
      <c r="J12" s="5"/>
      <c r="K12" s="5"/>
      <c r="L12" s="5"/>
      <c r="M12" s="5"/>
      <c r="N12" s="5"/>
      <c r="O12" s="5"/>
    </row>
    <row r="13" spans="1:24" x14ac:dyDescent="0.2">
      <c r="B13" s="342" t="s">
        <v>221</v>
      </c>
      <c r="C13" s="343"/>
      <c r="D13" s="346" t="s">
        <v>285</v>
      </c>
      <c r="E13" s="347"/>
      <c r="F13" s="5"/>
      <c r="G13" s="5"/>
      <c r="H13" s="5"/>
      <c r="J13" s="5"/>
      <c r="K13" s="5"/>
      <c r="L13" s="5"/>
      <c r="M13" s="5"/>
      <c r="N13" s="5"/>
      <c r="O13" s="5"/>
    </row>
    <row r="14" spans="1:24" x14ac:dyDescent="0.2">
      <c r="B14" s="342" t="s">
        <v>222</v>
      </c>
      <c r="C14" s="343"/>
      <c r="D14" s="344" t="s">
        <v>46</v>
      </c>
      <c r="E14" s="345"/>
      <c r="F14" s="5"/>
      <c r="G14" s="5"/>
      <c r="H14" s="5"/>
      <c r="J14" s="5"/>
      <c r="K14" s="5"/>
      <c r="L14" s="5"/>
      <c r="M14" s="5"/>
      <c r="N14" s="5"/>
      <c r="O14" s="5"/>
    </row>
    <row r="15" spans="1:24" x14ac:dyDescent="0.2">
      <c r="B15" s="342" t="s">
        <v>223</v>
      </c>
      <c r="C15" s="343"/>
      <c r="D15" s="346" t="s">
        <v>691</v>
      </c>
      <c r="E15" s="347"/>
      <c r="F15" s="5"/>
      <c r="G15" s="5"/>
      <c r="H15" s="5"/>
      <c r="J15" s="5"/>
      <c r="K15" s="5"/>
      <c r="L15" s="5"/>
      <c r="M15" s="5"/>
      <c r="N15" s="5"/>
      <c r="O15" s="5"/>
    </row>
    <row r="16" spans="1:24" x14ac:dyDescent="0.2">
      <c r="B16" s="342" t="s">
        <v>224</v>
      </c>
      <c r="C16" s="343"/>
      <c r="D16" s="346" t="s">
        <v>250</v>
      </c>
      <c r="E16" s="347"/>
      <c r="F16" s="5"/>
      <c r="G16" s="5"/>
      <c r="H16" s="5"/>
      <c r="J16" s="5"/>
      <c r="K16" s="5"/>
      <c r="L16" s="5"/>
      <c r="M16" s="5"/>
      <c r="N16" s="5"/>
      <c r="O16" s="5"/>
    </row>
    <row r="17" spans="1:25" ht="18" customHeight="1" x14ac:dyDescent="0.2">
      <c r="B17" s="366" t="s">
        <v>225</v>
      </c>
      <c r="C17" s="367"/>
      <c r="D17" s="368"/>
      <c r="E17" s="369"/>
      <c r="F17" s="5"/>
      <c r="G17" s="5"/>
      <c r="H17" s="5"/>
      <c r="J17" s="5"/>
      <c r="K17" s="5"/>
      <c r="L17" s="5"/>
      <c r="M17" s="5"/>
      <c r="N17" s="5"/>
      <c r="O17" s="5"/>
    </row>
    <row r="18" spans="1:25" x14ac:dyDescent="0.2">
      <c r="B18" s="4"/>
      <c r="C18" s="5"/>
      <c r="D18" s="5"/>
      <c r="E18" s="5"/>
      <c r="F18" s="5"/>
      <c r="G18" s="5"/>
      <c r="H18" s="5"/>
      <c r="J18" s="5"/>
      <c r="K18" s="5"/>
      <c r="L18" s="5"/>
      <c r="M18" s="5"/>
      <c r="N18" s="5"/>
      <c r="O18" s="5"/>
    </row>
    <row r="19" spans="1:25" ht="13.5" thickBot="1" x14ac:dyDescent="0.25">
      <c r="B19" s="4"/>
      <c r="C19" s="5"/>
      <c r="D19" s="5"/>
      <c r="E19" s="5"/>
      <c r="F19" s="5"/>
      <c r="G19" s="5"/>
      <c r="H19" s="5"/>
      <c r="J19" s="5"/>
      <c r="K19" s="5"/>
      <c r="L19" s="5"/>
      <c r="M19" s="5"/>
      <c r="N19" s="5"/>
      <c r="O19" s="5"/>
    </row>
    <row r="20" spans="1:25" s="2" customFormat="1" ht="13.5" thickBot="1" x14ac:dyDescent="0.25">
      <c r="A20" s="6"/>
      <c r="B20" s="348" t="s">
        <v>227</v>
      </c>
      <c r="C20" s="349"/>
      <c r="D20" s="349"/>
      <c r="E20" s="349"/>
      <c r="F20" s="349"/>
      <c r="G20" s="349"/>
      <c r="H20" s="349"/>
      <c r="I20" s="349"/>
      <c r="J20" s="349"/>
      <c r="K20" s="349"/>
      <c r="L20" s="349"/>
      <c r="M20" s="349"/>
      <c r="N20" s="349"/>
      <c r="O20" s="349"/>
      <c r="P20" s="349"/>
      <c r="Q20" s="350"/>
      <c r="R20" s="6"/>
      <c r="S20" s="6"/>
      <c r="T20" s="6"/>
      <c r="U20" s="6"/>
      <c r="V20" s="6"/>
      <c r="W20" s="6"/>
      <c r="X20" s="6"/>
    </row>
    <row r="21" spans="1:25" x14ac:dyDescent="0.2">
      <c r="B21" s="4"/>
      <c r="C21" s="5"/>
      <c r="D21" s="5"/>
      <c r="E21" s="5"/>
      <c r="F21" s="5"/>
      <c r="G21" s="47" t="s">
        <v>354</v>
      </c>
      <c r="H21" s="5"/>
      <c r="J21" s="5"/>
      <c r="K21" s="5"/>
      <c r="L21" s="5"/>
      <c r="M21" s="5"/>
      <c r="N21" s="5"/>
      <c r="O21" s="5"/>
    </row>
    <row r="22" spans="1:25" x14ac:dyDescent="0.2">
      <c r="B22" s="4"/>
      <c r="C22" s="3" t="s">
        <v>230</v>
      </c>
      <c r="D22" s="3" t="s">
        <v>231</v>
      </c>
      <c r="E22" s="3" t="s">
        <v>232</v>
      </c>
      <c r="F22" s="3" t="s">
        <v>95</v>
      </c>
      <c r="G22" s="3" t="s">
        <v>96</v>
      </c>
      <c r="H22" s="3" t="s">
        <v>239</v>
      </c>
      <c r="I22" s="312" t="s">
        <v>206</v>
      </c>
      <c r="J22" s="358" t="s">
        <v>208</v>
      </c>
      <c r="K22" s="358"/>
      <c r="L22" s="358"/>
      <c r="M22" s="358"/>
      <c r="N22" s="358"/>
      <c r="O22" s="358"/>
      <c r="P22" s="358"/>
      <c r="Q22" s="358"/>
      <c r="Y22" s="5"/>
    </row>
    <row r="23" spans="1:25" s="20" customFormat="1" x14ac:dyDescent="0.2">
      <c r="A23" s="5"/>
      <c r="B23" s="4"/>
      <c r="C23" s="267" t="s">
        <v>144</v>
      </c>
      <c r="D23" s="268"/>
      <c r="E23" s="269">
        <v>13</v>
      </c>
      <c r="F23" s="268"/>
      <c r="G23" s="245"/>
      <c r="H23" s="267" t="s">
        <v>559</v>
      </c>
      <c r="J23" s="370" t="s">
        <v>145</v>
      </c>
      <c r="K23" s="370"/>
      <c r="L23" s="370"/>
      <c r="M23" s="370"/>
      <c r="N23" s="370"/>
      <c r="O23" s="370"/>
      <c r="P23" s="370"/>
      <c r="Q23" s="370"/>
      <c r="R23" s="5"/>
      <c r="S23" s="5"/>
      <c r="T23" s="5"/>
      <c r="U23" s="5"/>
      <c r="V23" s="5"/>
      <c r="W23" s="5"/>
      <c r="X23" s="5"/>
    </row>
    <row r="24" spans="1:25" s="20" customFormat="1" x14ac:dyDescent="0.2">
      <c r="A24" s="5"/>
      <c r="B24" s="4"/>
      <c r="C24" s="103" t="s">
        <v>453</v>
      </c>
      <c r="D24" s="50"/>
      <c r="E24" s="233">
        <f>Yield_SRWC!C46</f>
        <v>6350.2931800000006</v>
      </c>
      <c r="F24" s="263">
        <f>Yield_SRWC!C43</f>
        <v>2993.7096419999998</v>
      </c>
      <c r="G24" s="263">
        <f>Yield_SRWC!C44</f>
        <v>7620.3518160000003</v>
      </c>
      <c r="H24" s="103" t="s">
        <v>452</v>
      </c>
      <c r="I24" s="313" t="s">
        <v>882</v>
      </c>
      <c r="J24" s="361" t="s">
        <v>796</v>
      </c>
      <c r="K24" s="361"/>
      <c r="L24" s="361"/>
      <c r="M24" s="361"/>
      <c r="N24" s="361"/>
      <c r="O24" s="361"/>
      <c r="P24" s="361"/>
      <c r="Q24" s="361"/>
      <c r="R24" s="5"/>
      <c r="S24" s="5"/>
      <c r="T24" s="5"/>
      <c r="U24" s="5"/>
      <c r="V24" s="5"/>
      <c r="W24" s="5"/>
      <c r="X24" s="5"/>
      <c r="Y24" s="5"/>
    </row>
    <row r="25" spans="1:25" s="20" customFormat="1" x14ac:dyDescent="0.2">
      <c r="A25" s="5"/>
      <c r="B25" s="4"/>
      <c r="C25" s="103" t="s">
        <v>692</v>
      </c>
      <c r="D25" s="50" t="s">
        <v>693</v>
      </c>
      <c r="E25" s="233">
        <f>E24*30</f>
        <v>190508.7954</v>
      </c>
      <c r="F25" s="50"/>
      <c r="G25" s="50"/>
      <c r="H25" s="103" t="s">
        <v>694</v>
      </c>
      <c r="I25" s="314"/>
      <c r="J25" s="361" t="s">
        <v>23</v>
      </c>
      <c r="K25" s="361"/>
      <c r="L25" s="361"/>
      <c r="M25" s="361"/>
      <c r="N25" s="361"/>
      <c r="O25" s="361"/>
      <c r="P25" s="361"/>
      <c r="Q25" s="361"/>
      <c r="R25" s="5"/>
      <c r="S25" s="5"/>
      <c r="T25" s="5"/>
      <c r="U25" s="5"/>
      <c r="V25" s="5"/>
      <c r="W25" s="5"/>
      <c r="X25" s="5"/>
      <c r="Y25" s="5"/>
    </row>
    <row r="26" spans="1:25" s="20" customFormat="1" x14ac:dyDescent="0.2">
      <c r="A26" s="5"/>
      <c r="B26" s="4"/>
      <c r="C26" s="267" t="s">
        <v>146</v>
      </c>
      <c r="D26" s="272" t="str">
        <f>CONCATENATE(C23,"*",C24)</f>
        <v>Biomass_Rot*Biomass_yield_y</v>
      </c>
      <c r="E26" s="272">
        <f>E23*E24</f>
        <v>82553.811340000015</v>
      </c>
      <c r="F26" s="268"/>
      <c r="G26" s="245"/>
      <c r="H26" s="267" t="s">
        <v>143</v>
      </c>
      <c r="I26" s="270"/>
      <c r="J26" s="370" t="s">
        <v>890</v>
      </c>
      <c r="K26" s="370"/>
      <c r="L26" s="370"/>
      <c r="M26" s="370"/>
      <c r="N26" s="370"/>
      <c r="O26" s="370"/>
      <c r="P26" s="370"/>
      <c r="Q26" s="370"/>
      <c r="R26" s="5"/>
      <c r="S26" s="5"/>
      <c r="T26" s="5"/>
      <c r="U26" s="5"/>
      <c r="V26" s="5"/>
      <c r="W26" s="5"/>
      <c r="X26" s="5"/>
    </row>
    <row r="27" spans="1:25" s="20" customFormat="1" x14ac:dyDescent="0.2">
      <c r="A27" s="5"/>
      <c r="B27" s="4"/>
      <c r="C27" s="103" t="s">
        <v>695</v>
      </c>
      <c r="D27" s="50"/>
      <c r="E27" s="232">
        <f>C_Up!F12</f>
        <v>0.98689083733670835</v>
      </c>
      <c r="F27" s="50"/>
      <c r="G27" s="50"/>
      <c r="H27" s="103" t="s">
        <v>411</v>
      </c>
      <c r="I27" s="314">
        <v>31</v>
      </c>
      <c r="J27" s="361" t="s">
        <v>121</v>
      </c>
      <c r="K27" s="361"/>
      <c r="L27" s="361"/>
      <c r="M27" s="361"/>
      <c r="N27" s="361"/>
      <c r="O27" s="361"/>
      <c r="P27" s="361"/>
      <c r="Q27" s="361"/>
      <c r="R27" s="5"/>
      <c r="S27" s="5"/>
      <c r="T27" s="5"/>
      <c r="U27" s="5"/>
      <c r="V27" s="5"/>
      <c r="W27" s="5"/>
      <c r="X27" s="5"/>
      <c r="Y27" s="5"/>
    </row>
    <row r="28" spans="1:25" s="20" customFormat="1" x14ac:dyDescent="0.2">
      <c r="A28" s="5"/>
      <c r="B28" s="4"/>
      <c r="C28" s="103" t="s">
        <v>122</v>
      </c>
      <c r="D28" s="50"/>
      <c r="E28" s="232">
        <f>C_Diesel!B13</f>
        <v>19.21080405</v>
      </c>
      <c r="F28" s="262">
        <f>C_Diesel!B14</f>
        <v>18.375551699999999</v>
      </c>
      <c r="G28" s="262">
        <f>C_Diesel!B15</f>
        <v>20.046056400000001</v>
      </c>
      <c r="H28" s="103" t="s">
        <v>123</v>
      </c>
      <c r="I28" s="313">
        <v>31</v>
      </c>
      <c r="J28" s="361" t="s">
        <v>124</v>
      </c>
      <c r="K28" s="361"/>
      <c r="L28" s="361"/>
      <c r="M28" s="361"/>
      <c r="N28" s="361"/>
      <c r="O28" s="361"/>
      <c r="P28" s="361"/>
      <c r="Q28" s="361"/>
      <c r="R28" s="5"/>
      <c r="S28" s="5"/>
      <c r="T28" s="5"/>
      <c r="U28" s="5"/>
      <c r="V28" s="5"/>
      <c r="W28" s="5"/>
      <c r="X28" s="5"/>
      <c r="Y28" s="5"/>
    </row>
    <row r="29" spans="1:25" s="20" customFormat="1" x14ac:dyDescent="0.2">
      <c r="A29" s="5"/>
      <c r="B29" s="4"/>
      <c r="C29" s="103" t="s">
        <v>125</v>
      </c>
      <c r="D29" s="230" t="str">
        <f>CONCATENATE(C28,"/",C24)</f>
        <v>Elec_acre/Biomass_yield_y</v>
      </c>
      <c r="E29" s="230">
        <f>E28/E24</f>
        <v>3.0251837994667197E-3</v>
      </c>
      <c r="F29" s="262"/>
      <c r="G29" s="262"/>
      <c r="H29" s="103" t="s">
        <v>126</v>
      </c>
      <c r="I29" s="314"/>
      <c r="J29" s="361" t="s">
        <v>127</v>
      </c>
      <c r="K29" s="361"/>
      <c r="L29" s="361"/>
      <c r="M29" s="361"/>
      <c r="N29" s="361"/>
      <c r="O29" s="361"/>
      <c r="P29" s="361"/>
      <c r="Q29" s="361"/>
      <c r="R29" s="5"/>
      <c r="S29" s="5"/>
      <c r="T29" s="5"/>
      <c r="U29" s="5"/>
      <c r="V29" s="5"/>
      <c r="W29" s="5"/>
      <c r="X29" s="5"/>
      <c r="Y29" s="5"/>
    </row>
    <row r="30" spans="1:25" s="20" customFormat="1" x14ac:dyDescent="0.2">
      <c r="A30" s="5"/>
      <c r="B30" s="4"/>
      <c r="C30" s="103" t="s">
        <v>401</v>
      </c>
      <c r="D30" s="50"/>
      <c r="E30" s="232">
        <f>C_Diesel!B10</f>
        <v>31.279734564844023</v>
      </c>
      <c r="F30" s="262">
        <f>C_Diesel!B11</f>
        <v>29.919746105502981</v>
      </c>
      <c r="G30" s="262">
        <f>C_Diesel!B12</f>
        <v>32.639723024185066</v>
      </c>
      <c r="H30" s="103" t="s">
        <v>819</v>
      </c>
      <c r="I30" s="313">
        <v>31</v>
      </c>
      <c r="J30" s="361" t="s">
        <v>797</v>
      </c>
      <c r="K30" s="361"/>
      <c r="L30" s="361"/>
      <c r="M30" s="361"/>
      <c r="N30" s="361"/>
      <c r="O30" s="361"/>
      <c r="P30" s="361"/>
      <c r="Q30" s="361"/>
      <c r="R30" s="5"/>
      <c r="S30" s="5"/>
      <c r="T30" s="5"/>
      <c r="U30" s="5"/>
      <c r="V30" s="5"/>
      <c r="W30" s="5"/>
      <c r="X30" s="5"/>
      <c r="Y30" s="5"/>
    </row>
    <row r="31" spans="1:25" s="20" customFormat="1" x14ac:dyDescent="0.2">
      <c r="A31" s="5"/>
      <c r="B31" s="4"/>
      <c r="C31" s="103" t="s">
        <v>403</v>
      </c>
      <c r="D31" s="230" t="str">
        <f>CONCATENATE(C30,"/",C24)</f>
        <v>Diesel_acre_y/Biomass_yield_y</v>
      </c>
      <c r="E31" s="230">
        <f>E30/E24</f>
        <v>4.9257150305057288E-3</v>
      </c>
      <c r="F31" s="50"/>
      <c r="G31" s="50"/>
      <c r="H31" s="103" t="s">
        <v>756</v>
      </c>
      <c r="I31" s="314"/>
      <c r="J31" s="361" t="s">
        <v>798</v>
      </c>
      <c r="K31" s="361"/>
      <c r="L31" s="361"/>
      <c r="M31" s="361"/>
      <c r="N31" s="361"/>
      <c r="O31" s="361"/>
      <c r="P31" s="361"/>
      <c r="Q31" s="361"/>
      <c r="R31" s="5"/>
      <c r="S31" s="5"/>
      <c r="T31" s="5"/>
      <c r="U31" s="5"/>
      <c r="V31" s="5"/>
      <c r="W31" s="5"/>
      <c r="X31" s="5"/>
      <c r="Y31" s="5"/>
    </row>
    <row r="32" spans="1:25" s="20" customFormat="1" x14ac:dyDescent="0.2">
      <c r="A32" s="5"/>
      <c r="B32" s="4"/>
      <c r="C32" s="103" t="s">
        <v>405</v>
      </c>
      <c r="D32" s="50"/>
      <c r="E32" s="230">
        <f>Conversions!D24</f>
        <v>0.84314188391622547</v>
      </c>
      <c r="F32" s="50"/>
      <c r="G32" s="50"/>
      <c r="H32" s="103" t="s">
        <v>406</v>
      </c>
      <c r="I32" s="314"/>
      <c r="J32" s="361" t="s">
        <v>799</v>
      </c>
      <c r="K32" s="361"/>
      <c r="L32" s="361"/>
      <c r="M32" s="361"/>
      <c r="N32" s="361"/>
      <c r="O32" s="361"/>
      <c r="P32" s="361"/>
      <c r="Q32" s="361"/>
      <c r="R32" s="5"/>
      <c r="S32" s="5"/>
      <c r="T32" s="5"/>
      <c r="U32" s="5"/>
      <c r="V32" s="5"/>
      <c r="W32" s="5"/>
      <c r="X32" s="5"/>
      <c r="Y32" s="5"/>
    </row>
    <row r="33" spans="1:25" s="20" customFormat="1" x14ac:dyDescent="0.2">
      <c r="A33" s="5"/>
      <c r="B33" s="4"/>
      <c r="C33" s="103" t="s">
        <v>407</v>
      </c>
      <c r="D33" s="50" t="s">
        <v>408</v>
      </c>
      <c r="E33" s="230">
        <f>E32*E31</f>
        <v>4.1530766504550677E-3</v>
      </c>
      <c r="F33" s="50"/>
      <c r="G33" s="50"/>
      <c r="H33" s="103" t="s">
        <v>409</v>
      </c>
      <c r="I33" s="314"/>
      <c r="J33" s="361" t="s">
        <v>800</v>
      </c>
      <c r="K33" s="361"/>
      <c r="L33" s="361"/>
      <c r="M33" s="361"/>
      <c r="N33" s="361"/>
      <c r="O33" s="361"/>
      <c r="P33" s="361"/>
      <c r="Q33" s="361"/>
      <c r="R33" s="5"/>
      <c r="S33" s="5"/>
      <c r="T33" s="5"/>
      <c r="U33" s="5"/>
      <c r="V33" s="5"/>
      <c r="W33" s="5"/>
      <c r="X33" s="5"/>
      <c r="Y33" s="5"/>
    </row>
    <row r="34" spans="1:25" s="20" customFormat="1" x14ac:dyDescent="0.2">
      <c r="A34" s="5"/>
      <c r="B34" s="4"/>
      <c r="C34" s="103" t="s">
        <v>157</v>
      </c>
      <c r="D34" s="50"/>
      <c r="E34" s="230">
        <v>1.325E-2</v>
      </c>
      <c r="F34" s="50">
        <v>3.1099999999999999E-3</v>
      </c>
      <c r="G34" s="50">
        <v>6.5000000000000002E-2</v>
      </c>
      <c r="H34" s="103" t="s">
        <v>158</v>
      </c>
      <c r="I34" s="313">
        <v>31</v>
      </c>
      <c r="J34" s="361" t="s">
        <v>159</v>
      </c>
      <c r="K34" s="361"/>
      <c r="L34" s="361"/>
      <c r="M34" s="361"/>
      <c r="N34" s="361"/>
      <c r="O34" s="361"/>
      <c r="P34" s="361"/>
      <c r="Q34" s="361"/>
      <c r="R34" s="5"/>
      <c r="S34" s="5"/>
      <c r="T34" s="5"/>
      <c r="U34" s="5"/>
      <c r="V34" s="5"/>
      <c r="W34" s="5"/>
      <c r="X34" s="5"/>
      <c r="Y34" s="5"/>
    </row>
    <row r="35" spans="1:25" s="20" customFormat="1" x14ac:dyDescent="0.2">
      <c r="A35" s="5"/>
      <c r="B35" s="4"/>
      <c r="C35" s="103" t="s">
        <v>1103</v>
      </c>
      <c r="D35" s="50"/>
      <c r="E35" s="230">
        <f>Fert!A44</f>
        <v>0.05</v>
      </c>
      <c r="F35" s="50"/>
      <c r="G35" s="50"/>
      <c r="H35" s="103" t="s">
        <v>1104</v>
      </c>
      <c r="I35" s="313">
        <v>32</v>
      </c>
      <c r="J35" s="361" t="s">
        <v>1105</v>
      </c>
      <c r="K35" s="361"/>
      <c r="L35" s="361"/>
      <c r="M35" s="361"/>
      <c r="N35" s="361"/>
      <c r="O35" s="361"/>
      <c r="P35" s="361"/>
      <c r="Q35" s="361"/>
      <c r="R35" s="5"/>
      <c r="S35" s="5"/>
      <c r="T35" s="5"/>
      <c r="U35" s="5"/>
      <c r="V35" s="5"/>
      <c r="W35" s="5"/>
      <c r="X35" s="5"/>
      <c r="Y35" s="5"/>
    </row>
    <row r="36" spans="1:25" s="20" customFormat="1" x14ac:dyDescent="0.2">
      <c r="A36" s="5"/>
      <c r="B36" s="4"/>
      <c r="C36" s="103" t="s">
        <v>1106</v>
      </c>
      <c r="D36" s="50"/>
      <c r="E36" s="230">
        <f>Fert!A45</f>
        <v>0.05</v>
      </c>
      <c r="F36" s="50"/>
      <c r="G36" s="50"/>
      <c r="H36" s="103" t="s">
        <v>1107</v>
      </c>
      <c r="I36" s="313">
        <v>32</v>
      </c>
      <c r="J36" s="361" t="s">
        <v>1108</v>
      </c>
      <c r="K36" s="361"/>
      <c r="L36" s="361"/>
      <c r="M36" s="361"/>
      <c r="N36" s="361"/>
      <c r="O36" s="361"/>
      <c r="P36" s="361"/>
      <c r="Q36" s="361"/>
      <c r="R36" s="5"/>
      <c r="S36" s="5"/>
      <c r="T36" s="5"/>
      <c r="U36" s="5"/>
      <c r="V36" s="5"/>
      <c r="W36" s="5"/>
      <c r="X36" s="5"/>
      <c r="Y36" s="5"/>
    </row>
    <row r="37" spans="1:25" s="20" customFormat="1" x14ac:dyDescent="0.2">
      <c r="A37" s="5"/>
      <c r="B37" s="4"/>
      <c r="C37" s="103" t="s">
        <v>1087</v>
      </c>
      <c r="D37" s="50"/>
      <c r="E37" s="231">
        <f>FugDust!F7</f>
        <v>8.3740129846153824E-2</v>
      </c>
      <c r="F37" s="50"/>
      <c r="G37" s="50"/>
      <c r="H37" s="103" t="s">
        <v>1133</v>
      </c>
      <c r="I37" s="314">
        <v>11</v>
      </c>
      <c r="J37" s="363" t="s">
        <v>1134</v>
      </c>
      <c r="K37" s="364"/>
      <c r="L37" s="364"/>
      <c r="M37" s="364"/>
      <c r="N37" s="364"/>
      <c r="O37" s="364"/>
      <c r="P37" s="364"/>
      <c r="Q37" s="365"/>
      <c r="R37" s="5"/>
      <c r="S37" s="5"/>
      <c r="T37" s="5"/>
      <c r="U37" s="5"/>
      <c r="V37" s="5"/>
      <c r="W37" s="5"/>
      <c r="X37" s="5"/>
      <c r="Y37" s="5"/>
    </row>
    <row r="38" spans="1:25" s="20" customFormat="1" x14ac:dyDescent="0.2">
      <c r="A38" s="5"/>
      <c r="B38" s="4"/>
      <c r="C38" s="103" t="s">
        <v>1088</v>
      </c>
      <c r="D38" s="50"/>
      <c r="E38" s="231">
        <v>0.15</v>
      </c>
      <c r="F38" s="50"/>
      <c r="G38" s="50"/>
      <c r="H38" s="103" t="s">
        <v>1089</v>
      </c>
      <c r="I38" s="314">
        <v>11</v>
      </c>
      <c r="J38" s="361" t="s">
        <v>1090</v>
      </c>
      <c r="K38" s="361"/>
      <c r="L38" s="361"/>
      <c r="M38" s="361"/>
      <c r="N38" s="361"/>
      <c r="O38" s="361"/>
      <c r="P38" s="361"/>
      <c r="Q38" s="361"/>
      <c r="R38" s="5"/>
      <c r="S38" s="5"/>
      <c r="T38" s="5"/>
      <c r="U38" s="5"/>
      <c r="V38" s="5"/>
      <c r="W38" s="5"/>
      <c r="X38" s="5"/>
      <c r="Y38" s="5"/>
    </row>
    <row r="39" spans="1:25" s="20" customFormat="1" x14ac:dyDescent="0.2">
      <c r="A39" s="5"/>
      <c r="B39" s="4"/>
      <c r="C39" s="103" t="s">
        <v>924</v>
      </c>
      <c r="D39" s="231" t="str">
        <f>CONCATENATE(C47,"*",C34)</f>
        <v>Fert_N_kg*FertN2Orate</v>
      </c>
      <c r="E39" s="231">
        <f>E47*E34</f>
        <v>3.7316569035345516E-5</v>
      </c>
      <c r="F39" s="50"/>
      <c r="G39" s="50"/>
      <c r="H39" s="103" t="s">
        <v>411</v>
      </c>
      <c r="I39" s="314"/>
      <c r="J39" s="361" t="s">
        <v>925</v>
      </c>
      <c r="K39" s="361"/>
      <c r="L39" s="361"/>
      <c r="M39" s="361"/>
      <c r="N39" s="361"/>
      <c r="O39" s="361"/>
      <c r="P39" s="361"/>
      <c r="Q39" s="361"/>
      <c r="R39" s="5"/>
      <c r="S39" s="5"/>
      <c r="T39" s="5"/>
      <c r="U39" s="5"/>
      <c r="V39" s="5"/>
      <c r="W39" s="5"/>
      <c r="X39" s="5"/>
      <c r="Y39" s="5"/>
    </row>
    <row r="40" spans="1:25" s="20" customFormat="1" x14ac:dyDescent="0.2">
      <c r="A40" s="5"/>
      <c r="B40" s="4"/>
      <c r="C40" s="103" t="s">
        <v>1109</v>
      </c>
      <c r="D40" s="231" t="str">
        <f>CONCATENATE(C$47,"*",C35)</f>
        <v>Fert_N_kg*FertNH3rate</v>
      </c>
      <c r="E40" s="231">
        <f>E$47*E35</f>
        <v>1.4081724164281327E-4</v>
      </c>
      <c r="F40" s="50"/>
      <c r="G40" s="50"/>
      <c r="H40" s="103" t="s">
        <v>411</v>
      </c>
      <c r="I40" s="314"/>
      <c r="J40" s="361" t="s">
        <v>1110</v>
      </c>
      <c r="K40" s="361"/>
      <c r="L40" s="361"/>
      <c r="M40" s="361"/>
      <c r="N40" s="361"/>
      <c r="O40" s="361"/>
      <c r="P40" s="361"/>
      <c r="Q40" s="361"/>
      <c r="R40" s="5"/>
      <c r="S40" s="5"/>
      <c r="T40" s="5"/>
      <c r="U40" s="5"/>
      <c r="V40" s="5"/>
      <c r="W40" s="5"/>
      <c r="X40" s="5"/>
      <c r="Y40" s="5"/>
    </row>
    <row r="41" spans="1:25" s="20" customFormat="1" x14ac:dyDescent="0.2">
      <c r="A41" s="5"/>
      <c r="B41" s="4"/>
      <c r="C41" s="103" t="s">
        <v>1111</v>
      </c>
      <c r="D41" s="231" t="str">
        <f>CONCATENATE(C$47,"*",C36)</f>
        <v>Fert_N_kg*FertNOxrate</v>
      </c>
      <c r="E41" s="231">
        <f>E$47*E36</f>
        <v>1.4081724164281327E-4</v>
      </c>
      <c r="F41" s="50"/>
      <c r="G41" s="50"/>
      <c r="H41" s="103" t="s">
        <v>411</v>
      </c>
      <c r="I41" s="314"/>
      <c r="J41" s="361" t="s">
        <v>1112</v>
      </c>
      <c r="K41" s="361"/>
      <c r="L41" s="361"/>
      <c r="M41" s="361"/>
      <c r="N41" s="361"/>
      <c r="O41" s="361"/>
      <c r="P41" s="361"/>
      <c r="Q41" s="361"/>
      <c r="R41" s="5"/>
      <c r="S41" s="5"/>
      <c r="T41" s="5"/>
      <c r="U41" s="5"/>
      <c r="V41" s="5"/>
      <c r="W41" s="5"/>
      <c r="X41" s="5"/>
      <c r="Y41" s="5"/>
    </row>
    <row r="42" spans="1:25" s="20" customFormat="1" x14ac:dyDescent="0.2">
      <c r="A42" s="5"/>
      <c r="B42" s="4"/>
      <c r="C42" s="103" t="s">
        <v>454</v>
      </c>
      <c r="D42" s="50"/>
      <c r="E42" s="234">
        <f>Herb!B9</f>
        <v>1.3607774938288739</v>
      </c>
      <c r="F42" s="50"/>
      <c r="G42" s="50"/>
      <c r="H42" s="103" t="s">
        <v>452</v>
      </c>
      <c r="I42" s="314">
        <v>15</v>
      </c>
      <c r="J42" s="363" t="s">
        <v>1119</v>
      </c>
      <c r="K42" s="364"/>
      <c r="L42" s="364"/>
      <c r="M42" s="364"/>
      <c r="N42" s="364"/>
      <c r="O42" s="364"/>
      <c r="P42" s="364"/>
      <c r="Q42" s="365"/>
      <c r="R42" s="5"/>
      <c r="S42" s="5"/>
      <c r="T42" s="5"/>
      <c r="U42" s="5"/>
      <c r="V42" s="5"/>
      <c r="W42" s="5"/>
      <c r="X42" s="5"/>
      <c r="Y42" s="5"/>
    </row>
    <row r="43" spans="1:25" s="20" customFormat="1" x14ac:dyDescent="0.2">
      <c r="A43" s="5"/>
      <c r="B43" s="4"/>
      <c r="C43" s="103" t="s">
        <v>455</v>
      </c>
      <c r="D43" s="50" t="s">
        <v>696</v>
      </c>
      <c r="E43" s="231">
        <f>E42/E24</f>
        <v>2.1428577472841557E-4</v>
      </c>
      <c r="F43" s="50"/>
      <c r="G43" s="50"/>
      <c r="H43" s="103" t="s">
        <v>411</v>
      </c>
      <c r="I43" s="314"/>
      <c r="J43" s="361" t="s">
        <v>155</v>
      </c>
      <c r="K43" s="361"/>
      <c r="L43" s="361"/>
      <c r="M43" s="361"/>
      <c r="N43" s="361"/>
      <c r="O43" s="361"/>
      <c r="P43" s="361"/>
      <c r="Q43" s="361"/>
      <c r="R43" s="5"/>
      <c r="S43" s="5"/>
      <c r="T43" s="5"/>
      <c r="U43" s="5"/>
      <c r="V43" s="5"/>
      <c r="W43" s="5"/>
      <c r="X43" s="5"/>
      <c r="Y43" s="5"/>
    </row>
    <row r="44" spans="1:25" s="20" customFormat="1" x14ac:dyDescent="0.2">
      <c r="A44" s="5"/>
      <c r="B44" s="4"/>
      <c r="C44" s="103" t="s">
        <v>456</v>
      </c>
      <c r="D44" s="50"/>
      <c r="E44" s="235">
        <f>Fert!A27</f>
        <v>232.5</v>
      </c>
      <c r="F44" s="50"/>
      <c r="G44" s="50"/>
      <c r="H44" s="103" t="s">
        <v>143</v>
      </c>
      <c r="I44" s="314">
        <v>15</v>
      </c>
      <c r="J44" s="361" t="s">
        <v>160</v>
      </c>
      <c r="K44" s="361"/>
      <c r="L44" s="361"/>
      <c r="M44" s="361"/>
      <c r="N44" s="361"/>
      <c r="O44" s="361"/>
      <c r="P44" s="361"/>
      <c r="Q44" s="361"/>
      <c r="R44" s="5"/>
      <c r="S44" s="5"/>
      <c r="T44" s="5"/>
      <c r="U44" s="5"/>
      <c r="V44" s="5"/>
      <c r="W44" s="5"/>
      <c r="X44" s="5"/>
      <c r="Y44" s="5"/>
    </row>
    <row r="45" spans="1:25" s="20" customFormat="1" x14ac:dyDescent="0.2">
      <c r="A45" s="5"/>
      <c r="B45" s="4"/>
      <c r="C45" s="103" t="s">
        <v>457</v>
      </c>
      <c r="D45" s="50"/>
      <c r="E45" s="271">
        <f>Fert!B11</f>
        <v>75</v>
      </c>
      <c r="F45" s="50"/>
      <c r="G45" s="50"/>
      <c r="H45" s="103" t="s">
        <v>143</v>
      </c>
      <c r="I45" s="314">
        <v>15</v>
      </c>
      <c r="J45" s="361" t="s">
        <v>161</v>
      </c>
      <c r="K45" s="361"/>
      <c r="L45" s="361"/>
      <c r="M45" s="361"/>
      <c r="N45" s="361"/>
      <c r="O45" s="361"/>
      <c r="P45" s="361"/>
      <c r="Q45" s="361"/>
      <c r="R45" s="5"/>
      <c r="S45" s="5"/>
      <c r="T45" s="5"/>
      <c r="U45" s="5"/>
      <c r="V45" s="5"/>
      <c r="W45" s="5"/>
      <c r="X45" s="5"/>
      <c r="Y45" s="5"/>
    </row>
    <row r="46" spans="1:25" s="20" customFormat="1" x14ac:dyDescent="0.2">
      <c r="A46" s="5"/>
      <c r="B46" s="4"/>
      <c r="C46" s="103" t="s">
        <v>458</v>
      </c>
      <c r="D46" s="50"/>
      <c r="E46" s="271">
        <f>Fert!B15</f>
        <v>130</v>
      </c>
      <c r="F46" s="50"/>
      <c r="G46" s="50"/>
      <c r="H46" s="103" t="s">
        <v>143</v>
      </c>
      <c r="I46" s="314">
        <v>15</v>
      </c>
      <c r="J46" s="361" t="s">
        <v>162</v>
      </c>
      <c r="K46" s="361"/>
      <c r="L46" s="361"/>
      <c r="M46" s="361"/>
      <c r="N46" s="361"/>
      <c r="O46" s="361"/>
      <c r="P46" s="361"/>
      <c r="Q46" s="361"/>
      <c r="R46" s="5"/>
      <c r="S46" s="5"/>
      <c r="T46" s="5"/>
      <c r="U46" s="5"/>
      <c r="V46" s="5"/>
      <c r="W46" s="5"/>
      <c r="X46" s="5"/>
      <c r="Y46" s="5"/>
    </row>
    <row r="47" spans="1:25" s="20" customFormat="1" x14ac:dyDescent="0.2">
      <c r="A47" s="5"/>
      <c r="B47" s="4"/>
      <c r="C47" s="103" t="s">
        <v>459</v>
      </c>
      <c r="D47" s="103" t="s">
        <v>147</v>
      </c>
      <c r="E47" s="231">
        <f>E44/E$26</f>
        <v>2.8163448328562654E-3</v>
      </c>
      <c r="F47" s="274">
        <f>E47*0.8</f>
        <v>2.2530758662850123E-3</v>
      </c>
      <c r="G47" s="274">
        <f>E47*1.2</f>
        <v>3.3796137994275186E-3</v>
      </c>
      <c r="H47" s="103" t="s">
        <v>411</v>
      </c>
      <c r="I47" s="314"/>
      <c r="J47" s="361" t="s">
        <v>801</v>
      </c>
      <c r="K47" s="361"/>
      <c r="L47" s="361"/>
      <c r="M47" s="361"/>
      <c r="N47" s="361"/>
      <c r="O47" s="361"/>
      <c r="P47" s="361"/>
      <c r="Q47" s="361"/>
      <c r="R47" s="5"/>
      <c r="S47" s="5"/>
      <c r="T47" s="5"/>
      <c r="U47" s="5"/>
      <c r="V47" s="5"/>
      <c r="W47" s="5"/>
      <c r="X47" s="5"/>
      <c r="Y47" s="5"/>
    </row>
    <row r="48" spans="1:25" s="20" customFormat="1" x14ac:dyDescent="0.2">
      <c r="A48" s="5"/>
      <c r="B48" s="4"/>
      <c r="C48" s="103" t="s">
        <v>460</v>
      </c>
      <c r="D48" s="103" t="s">
        <v>148</v>
      </c>
      <c r="E48" s="231">
        <f>E45/E$26</f>
        <v>9.0849833317944041E-4</v>
      </c>
      <c r="F48" s="274">
        <f>E48*0.8</f>
        <v>7.2679866654355241E-4</v>
      </c>
      <c r="G48" s="274">
        <f>E48*1.2</f>
        <v>1.0901979998153284E-3</v>
      </c>
      <c r="H48" s="103" t="s">
        <v>411</v>
      </c>
      <c r="I48" s="314"/>
      <c r="J48" s="361" t="s">
        <v>802</v>
      </c>
      <c r="K48" s="361"/>
      <c r="L48" s="361"/>
      <c r="M48" s="361"/>
      <c r="N48" s="361"/>
      <c r="O48" s="361"/>
      <c r="P48" s="361"/>
      <c r="Q48" s="361"/>
      <c r="R48" s="5"/>
      <c r="S48" s="5"/>
      <c r="T48" s="5"/>
      <c r="U48" s="5"/>
      <c r="V48" s="5"/>
      <c r="W48" s="5"/>
      <c r="X48" s="5"/>
      <c r="Y48" s="5"/>
    </row>
    <row r="49" spans="1:25" s="20" customFormat="1" x14ac:dyDescent="0.2">
      <c r="A49" s="5"/>
      <c r="B49" s="4"/>
      <c r="C49" s="103" t="s">
        <v>461</v>
      </c>
      <c r="D49" s="103" t="s">
        <v>149</v>
      </c>
      <c r="E49" s="231">
        <f>E46/E$26</f>
        <v>1.5747304441776967E-3</v>
      </c>
      <c r="F49" s="274">
        <f>E49*0.8</f>
        <v>1.2597843553421575E-3</v>
      </c>
      <c r="G49" s="274">
        <f>E49*1.2</f>
        <v>1.8896765330132358E-3</v>
      </c>
      <c r="H49" s="103" t="s">
        <v>411</v>
      </c>
      <c r="I49" s="314"/>
      <c r="J49" s="361" t="s">
        <v>803</v>
      </c>
      <c r="K49" s="361"/>
      <c r="L49" s="361"/>
      <c r="M49" s="361"/>
      <c r="N49" s="361"/>
      <c r="O49" s="361"/>
      <c r="P49" s="361"/>
      <c r="Q49" s="361"/>
      <c r="R49" s="5"/>
      <c r="S49" s="5"/>
      <c r="T49" s="5"/>
      <c r="U49" s="5"/>
      <c r="V49" s="5"/>
      <c r="W49" s="5"/>
      <c r="X49" s="5"/>
      <c r="Y49" s="5"/>
    </row>
    <row r="50" spans="1:25" s="20" customFormat="1" x14ac:dyDescent="0.2">
      <c r="A50" s="5"/>
      <c r="B50" s="4"/>
      <c r="C50" s="103" t="s">
        <v>462</v>
      </c>
      <c r="D50" s="50"/>
      <c r="E50" s="237">
        <f>C_Water!F25</f>
        <v>272560.72604484676</v>
      </c>
      <c r="F50" s="50"/>
      <c r="G50" s="50"/>
      <c r="H50" s="103" t="s">
        <v>402</v>
      </c>
      <c r="I50" s="314" t="s">
        <v>697</v>
      </c>
      <c r="J50" s="361" t="s">
        <v>804</v>
      </c>
      <c r="K50" s="361"/>
      <c r="L50" s="361"/>
      <c r="M50" s="361"/>
      <c r="N50" s="361"/>
      <c r="O50" s="361"/>
      <c r="P50" s="361"/>
      <c r="Q50" s="361"/>
      <c r="R50" s="5"/>
      <c r="S50" s="5"/>
      <c r="T50" s="5"/>
      <c r="U50" s="5"/>
      <c r="V50" s="5"/>
      <c r="W50" s="5"/>
      <c r="X50" s="5"/>
      <c r="Y50" s="5"/>
    </row>
    <row r="51" spans="1:25" s="20" customFormat="1" x14ac:dyDescent="0.2">
      <c r="A51" s="5"/>
      <c r="B51" s="4"/>
      <c r="C51" s="103" t="s">
        <v>463</v>
      </c>
      <c r="D51" s="50"/>
      <c r="E51" s="237">
        <f>C_Water!F24</f>
        <v>272560.72604484676</v>
      </c>
      <c r="F51" s="50"/>
      <c r="G51" s="50"/>
      <c r="H51" s="103" t="s">
        <v>402</v>
      </c>
      <c r="I51" s="314" t="s">
        <v>697</v>
      </c>
      <c r="J51" s="361" t="s">
        <v>805</v>
      </c>
      <c r="K51" s="361"/>
      <c r="L51" s="361"/>
      <c r="M51" s="361"/>
      <c r="N51" s="361"/>
      <c r="O51" s="361"/>
      <c r="P51" s="361"/>
      <c r="Q51" s="361"/>
      <c r="R51" s="5"/>
      <c r="S51" s="5"/>
      <c r="T51" s="5"/>
      <c r="U51" s="5"/>
      <c r="V51" s="5"/>
      <c r="W51" s="5"/>
      <c r="X51" s="5"/>
      <c r="Y51" s="5"/>
    </row>
    <row r="52" spans="1:25" s="20" customFormat="1" x14ac:dyDescent="0.2">
      <c r="A52" s="5"/>
      <c r="B52" s="4"/>
      <c r="C52" s="103" t="s">
        <v>464</v>
      </c>
      <c r="D52" s="50"/>
      <c r="E52" s="237">
        <f>C_Water!D16</f>
        <v>2210787.7699303064</v>
      </c>
      <c r="F52" s="50"/>
      <c r="G52" s="50"/>
      <c r="H52" s="103" t="s">
        <v>402</v>
      </c>
      <c r="I52" s="314" t="s">
        <v>697</v>
      </c>
      <c r="J52" s="361" t="s">
        <v>806</v>
      </c>
      <c r="K52" s="361"/>
      <c r="L52" s="361"/>
      <c r="M52" s="361"/>
      <c r="N52" s="361"/>
      <c r="O52" s="361"/>
      <c r="P52" s="361"/>
      <c r="Q52" s="361"/>
      <c r="R52" s="5"/>
      <c r="S52" s="5"/>
      <c r="T52" s="5"/>
      <c r="U52" s="5"/>
      <c r="V52" s="5"/>
      <c r="W52" s="5"/>
      <c r="X52" s="5"/>
      <c r="Y52" s="5"/>
    </row>
    <row r="53" spans="1:25" s="20" customFormat="1" x14ac:dyDescent="0.2">
      <c r="A53" s="5"/>
      <c r="B53" s="4"/>
      <c r="C53" s="103" t="s">
        <v>465</v>
      </c>
      <c r="D53" s="50"/>
      <c r="E53" s="237">
        <f>C_Water!F30</f>
        <v>70314.130297500014</v>
      </c>
      <c r="F53" s="50"/>
      <c r="G53" s="50"/>
      <c r="H53" s="103" t="s">
        <v>402</v>
      </c>
      <c r="I53" s="314" t="s">
        <v>697</v>
      </c>
      <c r="J53" s="361" t="s">
        <v>807</v>
      </c>
      <c r="K53" s="361"/>
      <c r="L53" s="361"/>
      <c r="M53" s="361"/>
      <c r="N53" s="361"/>
      <c r="O53" s="361"/>
      <c r="P53" s="361"/>
      <c r="Q53" s="361"/>
      <c r="R53" s="5"/>
      <c r="S53" s="5"/>
      <c r="T53" s="5"/>
      <c r="U53" s="5"/>
      <c r="V53" s="5"/>
      <c r="W53" s="5"/>
      <c r="X53" s="5"/>
      <c r="Y53" s="5"/>
    </row>
    <row r="54" spans="1:25" s="20" customFormat="1" x14ac:dyDescent="0.2">
      <c r="A54" s="5"/>
      <c r="B54" s="4"/>
      <c r="C54" s="103" t="s">
        <v>466</v>
      </c>
      <c r="D54" s="50" t="s">
        <v>698</v>
      </c>
      <c r="E54" s="273">
        <f>E50/E$24</f>
        <v>42.920967318999708</v>
      </c>
      <c r="F54" s="50"/>
      <c r="G54" s="50"/>
      <c r="H54" s="103" t="s">
        <v>404</v>
      </c>
      <c r="I54" s="314"/>
      <c r="J54" s="361" t="s">
        <v>808</v>
      </c>
      <c r="K54" s="361"/>
      <c r="L54" s="361"/>
      <c r="M54" s="361"/>
      <c r="N54" s="361"/>
      <c r="O54" s="361"/>
      <c r="P54" s="361"/>
      <c r="Q54" s="361"/>
      <c r="R54" s="5"/>
      <c r="S54" s="5"/>
      <c r="T54" s="5"/>
      <c r="U54" s="5"/>
      <c r="V54" s="5"/>
      <c r="W54" s="5"/>
      <c r="X54" s="5"/>
      <c r="Y54" s="5"/>
    </row>
    <row r="55" spans="1:25" s="20" customFormat="1" x14ac:dyDescent="0.2">
      <c r="A55" s="5"/>
      <c r="B55" s="4"/>
      <c r="C55" s="103" t="s">
        <v>467</v>
      </c>
      <c r="D55" s="50" t="s">
        <v>699</v>
      </c>
      <c r="E55" s="237">
        <f>E51/E$24</f>
        <v>42.920967318999708</v>
      </c>
      <c r="F55" s="50"/>
      <c r="G55" s="50"/>
      <c r="H55" s="103" t="s">
        <v>404</v>
      </c>
      <c r="I55" s="314"/>
      <c r="J55" s="361" t="s">
        <v>809</v>
      </c>
      <c r="K55" s="361"/>
      <c r="L55" s="361"/>
      <c r="M55" s="361"/>
      <c r="N55" s="361"/>
      <c r="O55" s="361"/>
      <c r="P55" s="361"/>
      <c r="Q55" s="361"/>
      <c r="R55" s="5"/>
      <c r="S55" s="5"/>
      <c r="T55" s="5"/>
      <c r="U55" s="5"/>
      <c r="V55" s="5"/>
      <c r="W55" s="5"/>
      <c r="X55" s="5"/>
      <c r="Y55" s="5"/>
    </row>
    <row r="56" spans="1:25" s="20" customFormat="1" x14ac:dyDescent="0.2">
      <c r="A56" s="5"/>
      <c r="B56" s="4"/>
      <c r="C56" s="103" t="s">
        <v>468</v>
      </c>
      <c r="D56" s="50" t="s">
        <v>700</v>
      </c>
      <c r="E56" s="237">
        <f>E52/E$24</f>
        <v>348.1394806924971</v>
      </c>
      <c r="F56" s="50"/>
      <c r="G56" s="50"/>
      <c r="H56" s="103" t="s">
        <v>404</v>
      </c>
      <c r="I56" s="314"/>
      <c r="J56" s="361" t="s">
        <v>810</v>
      </c>
      <c r="K56" s="361"/>
      <c r="L56" s="361"/>
      <c r="M56" s="361"/>
      <c r="N56" s="361"/>
      <c r="O56" s="361"/>
      <c r="P56" s="361"/>
      <c r="Q56" s="361"/>
      <c r="R56" s="5"/>
      <c r="S56" s="5"/>
      <c r="T56" s="5"/>
      <c r="U56" s="5"/>
      <c r="V56" s="5"/>
      <c r="W56" s="5"/>
      <c r="X56" s="5"/>
      <c r="Y56" s="5"/>
    </row>
    <row r="57" spans="1:25" s="20" customFormat="1" x14ac:dyDescent="0.2">
      <c r="A57" s="5"/>
      <c r="B57" s="4"/>
      <c r="C57" s="103" t="s">
        <v>469</v>
      </c>
      <c r="D57" s="50" t="s">
        <v>701</v>
      </c>
      <c r="E57" s="236">
        <f>E53/E$24</f>
        <v>11.072580163535065</v>
      </c>
      <c r="F57" s="50"/>
      <c r="G57" s="50"/>
      <c r="H57" s="103" t="s">
        <v>404</v>
      </c>
      <c r="I57" s="314"/>
      <c r="J57" s="361" t="s">
        <v>811</v>
      </c>
      <c r="K57" s="361"/>
      <c r="L57" s="361"/>
      <c r="M57" s="361"/>
      <c r="N57" s="361"/>
      <c r="O57" s="361"/>
      <c r="P57" s="361"/>
      <c r="Q57" s="361"/>
      <c r="R57" s="5"/>
      <c r="S57" s="5"/>
      <c r="T57" s="5"/>
      <c r="U57" s="5"/>
      <c r="V57" s="5"/>
      <c r="W57" s="5"/>
      <c r="X57" s="5"/>
      <c r="Y57" s="5"/>
    </row>
    <row r="58" spans="1:25" s="20" customFormat="1" x14ac:dyDescent="0.2">
      <c r="A58" s="5"/>
      <c r="B58" s="4"/>
      <c r="C58" s="103" t="s">
        <v>470</v>
      </c>
      <c r="D58" s="50"/>
      <c r="E58" s="230">
        <f>E_Water!F41</f>
        <v>0.22176773236678321</v>
      </c>
      <c r="F58" s="50"/>
      <c r="G58" s="50"/>
      <c r="H58" s="103" t="s">
        <v>42</v>
      </c>
      <c r="I58" s="314">
        <v>22</v>
      </c>
      <c r="J58" s="361" t="s">
        <v>812</v>
      </c>
      <c r="K58" s="361"/>
      <c r="L58" s="361"/>
      <c r="M58" s="361"/>
      <c r="N58" s="361"/>
      <c r="O58" s="361"/>
      <c r="P58" s="361"/>
      <c r="Q58" s="361"/>
      <c r="R58" s="5"/>
      <c r="S58" s="5"/>
      <c r="T58" s="5"/>
      <c r="U58" s="5"/>
      <c r="V58" s="5"/>
      <c r="W58" s="5"/>
      <c r="X58" s="5"/>
      <c r="Y58" s="5"/>
    </row>
    <row r="59" spans="1:25" s="20" customFormat="1" x14ac:dyDescent="0.2">
      <c r="A59" s="5"/>
      <c r="B59" s="4"/>
      <c r="C59" s="103" t="s">
        <v>471</v>
      </c>
      <c r="D59" s="50"/>
      <c r="E59" s="230">
        <f>E_Water!F42</f>
        <v>2.3502896959141109E-4</v>
      </c>
      <c r="F59" s="50"/>
      <c r="G59" s="50"/>
      <c r="H59" s="103" t="s">
        <v>43</v>
      </c>
      <c r="I59" s="314">
        <v>22</v>
      </c>
      <c r="J59" s="361" t="s">
        <v>813</v>
      </c>
      <c r="K59" s="361"/>
      <c r="L59" s="361"/>
      <c r="M59" s="361"/>
      <c r="N59" s="361"/>
      <c r="O59" s="361"/>
      <c r="P59" s="361"/>
      <c r="Q59" s="361"/>
      <c r="R59" s="5"/>
      <c r="S59" s="5"/>
      <c r="T59" s="5"/>
      <c r="U59" s="5"/>
      <c r="V59" s="5"/>
      <c r="W59" s="5"/>
      <c r="X59" s="5"/>
      <c r="Y59" s="5"/>
    </row>
    <row r="60" spans="1:25" s="20" customFormat="1" x14ac:dyDescent="0.2">
      <c r="A60" s="5"/>
      <c r="B60" s="4"/>
      <c r="C60" s="103" t="s">
        <v>472</v>
      </c>
      <c r="D60" s="103" t="s">
        <v>702</v>
      </c>
      <c r="E60" s="230">
        <f>E58/E$24</f>
        <v>3.4922439969422509E-5</v>
      </c>
      <c r="F60" s="50"/>
      <c r="G60" s="50"/>
      <c r="H60" s="103" t="s">
        <v>44</v>
      </c>
      <c r="I60" s="314"/>
      <c r="J60" s="361" t="s">
        <v>814</v>
      </c>
      <c r="K60" s="361"/>
      <c r="L60" s="361"/>
      <c r="M60" s="361"/>
      <c r="N60" s="361"/>
      <c r="O60" s="361"/>
      <c r="P60" s="361"/>
      <c r="Q60" s="361"/>
      <c r="R60" s="5"/>
      <c r="S60" s="5"/>
      <c r="T60" s="5"/>
      <c r="U60" s="5"/>
      <c r="V60" s="5"/>
      <c r="W60" s="5"/>
      <c r="X60" s="5"/>
      <c r="Y60" s="5"/>
    </row>
    <row r="61" spans="1:25" s="20" customFormat="1" x14ac:dyDescent="0.2">
      <c r="A61" s="5"/>
      <c r="B61" s="4"/>
      <c r="C61" s="103" t="s">
        <v>473</v>
      </c>
      <c r="D61" s="50" t="s">
        <v>703</v>
      </c>
      <c r="E61" s="230">
        <f>E59/E$24</f>
        <v>3.7010727367930918E-8</v>
      </c>
      <c r="F61" s="50"/>
      <c r="G61" s="50"/>
      <c r="H61" s="103" t="s">
        <v>45</v>
      </c>
      <c r="I61" s="314"/>
      <c r="J61" s="361" t="s">
        <v>815</v>
      </c>
      <c r="K61" s="361"/>
      <c r="L61" s="361"/>
      <c r="M61" s="361"/>
      <c r="N61" s="361"/>
      <c r="O61" s="361"/>
      <c r="P61" s="361"/>
      <c r="Q61" s="361"/>
      <c r="R61" s="5"/>
      <c r="S61" s="5"/>
      <c r="T61" s="5"/>
      <c r="U61" s="5"/>
      <c r="V61" s="5"/>
      <c r="W61" s="5"/>
      <c r="X61" s="5"/>
      <c r="Y61" s="5"/>
    </row>
    <row r="62" spans="1:25" s="20" customFormat="1" x14ac:dyDescent="0.2">
      <c r="A62" s="5"/>
      <c r="B62" s="4"/>
      <c r="C62" s="103" t="s">
        <v>1091</v>
      </c>
      <c r="D62" s="50" t="str">
        <f>C37&amp;"/"&amp;C24</f>
        <v>EF_PM10fd/Biomass_yield_y</v>
      </c>
      <c r="E62" s="231">
        <f>E37/E24</f>
        <v>1.3186813186813182E-5</v>
      </c>
      <c r="F62" s="50"/>
      <c r="G62" s="50"/>
      <c r="H62" s="103" t="s">
        <v>411</v>
      </c>
      <c r="I62" s="314">
        <v>11</v>
      </c>
      <c r="J62" s="361" t="s">
        <v>1093</v>
      </c>
      <c r="K62" s="361"/>
      <c r="L62" s="361"/>
      <c r="M62" s="361"/>
      <c r="N62" s="361"/>
      <c r="O62" s="361"/>
      <c r="P62" s="361"/>
      <c r="Q62" s="361"/>
      <c r="R62" s="5"/>
      <c r="S62" s="5"/>
      <c r="T62" s="5"/>
      <c r="U62" s="5"/>
      <c r="V62" s="5"/>
      <c r="W62" s="5"/>
      <c r="X62" s="5"/>
      <c r="Y62" s="5"/>
    </row>
    <row r="63" spans="1:25" s="20" customFormat="1" x14ac:dyDescent="0.2">
      <c r="A63" s="5"/>
      <c r="B63" s="4"/>
      <c r="C63" s="103" t="s">
        <v>1092</v>
      </c>
      <c r="D63" s="50" t="str">
        <f>C38&amp;"*"&amp;C62</f>
        <v>PM25_PM10*E_PM10fd</v>
      </c>
      <c r="E63" s="231">
        <f>E38*E62</f>
        <v>1.9780219780219774E-6</v>
      </c>
      <c r="F63" s="50"/>
      <c r="G63" s="50"/>
      <c r="H63" s="103" t="s">
        <v>411</v>
      </c>
      <c r="I63" s="314">
        <v>11</v>
      </c>
      <c r="J63" s="361" t="s">
        <v>1094</v>
      </c>
      <c r="K63" s="361"/>
      <c r="L63" s="361"/>
      <c r="M63" s="361"/>
      <c r="N63" s="361"/>
      <c r="O63" s="361"/>
      <c r="P63" s="361"/>
      <c r="Q63" s="361"/>
      <c r="R63" s="5"/>
      <c r="S63" s="5"/>
      <c r="T63" s="5"/>
      <c r="U63" s="5"/>
      <c r="V63" s="5"/>
      <c r="W63" s="5"/>
      <c r="X63" s="5"/>
      <c r="Y63" s="5"/>
    </row>
    <row r="64" spans="1:25" x14ac:dyDescent="0.2">
      <c r="B64" s="4"/>
      <c r="C64" s="9" t="s">
        <v>207</v>
      </c>
      <c r="D64" s="8" t="s">
        <v>211</v>
      </c>
      <c r="E64" s="8"/>
      <c r="F64" s="8"/>
      <c r="G64" s="8"/>
      <c r="H64" s="8"/>
      <c r="I64" s="315"/>
      <c r="J64" s="362"/>
      <c r="K64" s="362"/>
      <c r="L64" s="362"/>
      <c r="M64" s="362"/>
      <c r="N64" s="362"/>
      <c r="O64" s="362"/>
      <c r="P64" s="362"/>
      <c r="Q64" s="362"/>
      <c r="Y64" s="5"/>
    </row>
    <row r="65" spans="1:24" ht="13.5" thickBot="1" x14ac:dyDescent="0.25">
      <c r="B65" s="4"/>
      <c r="C65" s="5"/>
      <c r="D65" s="5"/>
      <c r="E65" s="5"/>
      <c r="F65" s="5"/>
      <c r="G65" s="5"/>
      <c r="H65" s="5"/>
      <c r="J65" s="5"/>
      <c r="K65" s="5"/>
      <c r="L65" s="5"/>
      <c r="M65" s="5"/>
      <c r="N65" s="5"/>
      <c r="O65" s="5"/>
    </row>
    <row r="66" spans="1:24" s="2" customFormat="1" ht="13.5" thickBot="1" x14ac:dyDescent="0.25">
      <c r="A66" s="6"/>
      <c r="B66" s="348" t="s">
        <v>228</v>
      </c>
      <c r="C66" s="349"/>
      <c r="D66" s="349"/>
      <c r="E66" s="349"/>
      <c r="F66" s="349"/>
      <c r="G66" s="349"/>
      <c r="H66" s="349"/>
      <c r="I66" s="349"/>
      <c r="J66" s="349"/>
      <c r="K66" s="349"/>
      <c r="L66" s="349"/>
      <c r="M66" s="349"/>
      <c r="N66" s="349"/>
      <c r="O66" s="349"/>
      <c r="P66" s="349"/>
      <c r="Q66" s="350"/>
      <c r="R66" s="6"/>
      <c r="S66" s="6"/>
      <c r="T66" s="6"/>
      <c r="U66" s="6"/>
      <c r="V66" s="6"/>
      <c r="W66" s="6"/>
      <c r="X66" s="6"/>
    </row>
    <row r="67" spans="1:24" x14ac:dyDescent="0.2">
      <c r="B67" s="4"/>
      <c r="C67" s="5"/>
      <c r="D67" s="5"/>
      <c r="E67" s="5"/>
      <c r="F67" s="5"/>
      <c r="G67" s="5"/>
      <c r="H67" s="47" t="s">
        <v>355</v>
      </c>
      <c r="J67" s="5"/>
      <c r="K67" s="5"/>
      <c r="L67" s="5"/>
      <c r="M67" s="5"/>
      <c r="N67" s="5"/>
      <c r="O67" s="5"/>
    </row>
    <row r="68" spans="1:24" x14ac:dyDescent="0.2">
      <c r="B68" s="4"/>
      <c r="C68" s="3" t="s">
        <v>233</v>
      </c>
      <c r="D68" s="3" t="s">
        <v>238</v>
      </c>
      <c r="E68" s="3" t="s">
        <v>232</v>
      </c>
      <c r="F68" s="3" t="s">
        <v>239</v>
      </c>
      <c r="G68" s="3" t="s">
        <v>233</v>
      </c>
      <c r="H68" s="3" t="s">
        <v>235</v>
      </c>
      <c r="I68" s="3" t="s">
        <v>213</v>
      </c>
      <c r="J68" s="3" t="s">
        <v>212</v>
      </c>
      <c r="K68" s="3" t="s">
        <v>236</v>
      </c>
      <c r="L68" s="3" t="s">
        <v>237</v>
      </c>
      <c r="M68" s="3" t="s">
        <v>206</v>
      </c>
      <c r="N68" s="3" t="s">
        <v>316</v>
      </c>
      <c r="O68" s="358" t="s">
        <v>208</v>
      </c>
      <c r="P68" s="358"/>
      <c r="Q68" s="358"/>
    </row>
    <row r="69" spans="1:24" s="54" customFormat="1" ht="25.5" customHeight="1" x14ac:dyDescent="0.2">
      <c r="A69" s="48"/>
      <c r="B69" s="49"/>
      <c r="C69" s="50"/>
      <c r="D69" s="103" t="s">
        <v>481</v>
      </c>
      <c r="E69" s="195">
        <v>1</v>
      </c>
      <c r="F69" s="103" t="s">
        <v>289</v>
      </c>
      <c r="G69" s="51">
        <f t="shared" ref="G69:G79" si="0">IF($C69="",1,VLOOKUP($C69,$C$22:$I$64,3,FALSE))</f>
        <v>1</v>
      </c>
      <c r="H69" s="51" t="str">
        <f>IF($C69="","",VLOOKUP($C69,$C$22:$I$64,6,FALSE))</f>
        <v/>
      </c>
      <c r="I69" s="238">
        <f>IF(D69="","",E69*G69*$D$5)</f>
        <v>1</v>
      </c>
      <c r="J69" s="50" t="s">
        <v>289</v>
      </c>
      <c r="K69" s="53" t="s">
        <v>280</v>
      </c>
      <c r="L69" s="103" t="s">
        <v>253</v>
      </c>
      <c r="M69" s="301"/>
      <c r="N69" s="303" t="s">
        <v>932</v>
      </c>
      <c r="O69" s="357" t="s">
        <v>704</v>
      </c>
      <c r="P69" s="357"/>
      <c r="Q69" s="357"/>
      <c r="R69" s="48"/>
      <c r="S69" s="48"/>
      <c r="T69" s="48"/>
      <c r="U69" s="48"/>
      <c r="V69" s="48"/>
      <c r="W69" s="48"/>
      <c r="X69" s="48"/>
    </row>
    <row r="70" spans="1:24" s="54" customFormat="1" ht="25.5" customHeight="1" x14ac:dyDescent="0.2">
      <c r="A70" s="48"/>
      <c r="B70" s="49"/>
      <c r="C70" s="103" t="s">
        <v>125</v>
      </c>
      <c r="D70" s="103" t="s">
        <v>1127</v>
      </c>
      <c r="E70" s="195">
        <v>1</v>
      </c>
      <c r="F70" s="103" t="s">
        <v>117</v>
      </c>
      <c r="G70" s="238">
        <f t="shared" si="0"/>
        <v>3.0251837994667197E-3</v>
      </c>
      <c r="H70" s="51" t="str">
        <f t="shared" ref="H70:H79" si="1">IF($C70="","",VLOOKUP($C70,$C$22:$I$64,6,FALSE))</f>
        <v>kWh/kg biomass</v>
      </c>
      <c r="I70" s="238">
        <f>IF(D70="","",E70*G70*$D$5)</f>
        <v>3.0251837994667197E-3</v>
      </c>
      <c r="J70" s="103" t="s">
        <v>117</v>
      </c>
      <c r="K70" s="121" t="s">
        <v>280</v>
      </c>
      <c r="L70" s="103" t="s">
        <v>255</v>
      </c>
      <c r="M70" s="301">
        <v>31</v>
      </c>
      <c r="N70" s="303" t="s">
        <v>932</v>
      </c>
      <c r="O70" s="357" t="s">
        <v>129</v>
      </c>
      <c r="P70" s="357"/>
      <c r="Q70" s="357"/>
      <c r="R70" s="48"/>
      <c r="S70" s="48"/>
      <c r="T70" s="48"/>
      <c r="U70" s="48"/>
      <c r="V70" s="48"/>
      <c r="W70" s="48"/>
      <c r="X70" s="48"/>
    </row>
    <row r="71" spans="1:24" s="54" customFormat="1" ht="25.5" customHeight="1" x14ac:dyDescent="0.2">
      <c r="A71" s="48"/>
      <c r="B71" s="49"/>
      <c r="C71" s="103" t="s">
        <v>407</v>
      </c>
      <c r="D71" s="55" t="s">
        <v>917</v>
      </c>
      <c r="E71" s="195">
        <v>1</v>
      </c>
      <c r="F71" s="103" t="s">
        <v>289</v>
      </c>
      <c r="G71" s="238">
        <f t="shared" si="0"/>
        <v>4.1530766504550677E-3</v>
      </c>
      <c r="H71" s="51" t="str">
        <f t="shared" si="1"/>
        <v>kg diesel/kg biomass</v>
      </c>
      <c r="I71" s="238">
        <f>IF(D71="","",E71*G71*$D$5)</f>
        <v>4.1530766504550677E-3</v>
      </c>
      <c r="J71" s="103" t="s">
        <v>289</v>
      </c>
      <c r="K71" s="121" t="s">
        <v>280</v>
      </c>
      <c r="L71" s="103" t="s">
        <v>255</v>
      </c>
      <c r="M71" s="302">
        <v>31</v>
      </c>
      <c r="N71" s="303" t="s">
        <v>932</v>
      </c>
      <c r="O71" s="359" t="s">
        <v>922</v>
      </c>
      <c r="P71" s="359"/>
      <c r="Q71" s="359"/>
      <c r="R71" s="48"/>
      <c r="S71" s="48"/>
      <c r="T71" s="48"/>
      <c r="U71" s="48"/>
      <c r="V71" s="48"/>
      <c r="W71" s="48"/>
      <c r="X71" s="48"/>
    </row>
    <row r="72" spans="1:24" s="54" customFormat="1" ht="25.5" customHeight="1" x14ac:dyDescent="0.2">
      <c r="A72" s="48"/>
      <c r="B72" s="49"/>
      <c r="C72" s="103"/>
      <c r="D72" s="317" t="s">
        <v>1128</v>
      </c>
      <c r="E72" s="195">
        <v>1</v>
      </c>
      <c r="F72" s="103" t="s">
        <v>1129</v>
      </c>
      <c r="G72" s="238">
        <f t="shared" si="0"/>
        <v>1</v>
      </c>
      <c r="H72" s="51" t="str">
        <f t="shared" si="1"/>
        <v/>
      </c>
      <c r="I72" s="238">
        <v>1</v>
      </c>
      <c r="J72" s="103" t="s">
        <v>1131</v>
      </c>
      <c r="K72" s="121" t="s">
        <v>280</v>
      </c>
      <c r="L72" s="103" t="s">
        <v>255</v>
      </c>
      <c r="M72" s="302"/>
      <c r="N72" s="303" t="s">
        <v>932</v>
      </c>
      <c r="O72" s="360" t="s">
        <v>1130</v>
      </c>
      <c r="P72" s="359"/>
      <c r="Q72" s="359"/>
      <c r="R72" s="48"/>
      <c r="S72" s="48"/>
      <c r="T72" s="48"/>
      <c r="U72" s="48"/>
      <c r="V72" s="48"/>
      <c r="W72" s="48"/>
      <c r="X72" s="48"/>
    </row>
    <row r="73" spans="1:24" s="54" customFormat="1" ht="25.5" customHeight="1" x14ac:dyDescent="0.2">
      <c r="A73" s="48"/>
      <c r="B73" s="49"/>
      <c r="C73" s="103" t="s">
        <v>459</v>
      </c>
      <c r="D73" s="103" t="s">
        <v>474</v>
      </c>
      <c r="E73" s="195">
        <v>1</v>
      </c>
      <c r="F73" s="103" t="s">
        <v>289</v>
      </c>
      <c r="G73" s="238">
        <f t="shared" si="0"/>
        <v>2.8163448328562654E-3</v>
      </c>
      <c r="H73" s="51" t="str">
        <f t="shared" si="1"/>
        <v>kg/kg biomass</v>
      </c>
      <c r="I73" s="238">
        <f t="shared" ref="I73:I79" si="2">IF(D73="","",E73*G73*$D$5)</f>
        <v>2.8163448328562654E-3</v>
      </c>
      <c r="J73" s="103" t="s">
        <v>289</v>
      </c>
      <c r="K73" s="121" t="s">
        <v>280</v>
      </c>
      <c r="L73" s="103" t="s">
        <v>255</v>
      </c>
      <c r="M73" s="301">
        <v>15</v>
      </c>
      <c r="N73" s="303" t="s">
        <v>932</v>
      </c>
      <c r="O73" s="357" t="s">
        <v>823</v>
      </c>
      <c r="P73" s="357"/>
      <c r="Q73" s="357"/>
      <c r="R73" s="48"/>
      <c r="S73" s="48"/>
      <c r="T73" s="48"/>
      <c r="U73" s="48"/>
      <c r="V73" s="48"/>
      <c r="W73" s="48"/>
      <c r="X73" s="48"/>
    </row>
    <row r="74" spans="1:24" s="54" customFormat="1" ht="25.5" customHeight="1" x14ac:dyDescent="0.2">
      <c r="A74" s="48"/>
      <c r="B74" s="49"/>
      <c r="C74" s="103" t="s">
        <v>460</v>
      </c>
      <c r="D74" s="103" t="s">
        <v>475</v>
      </c>
      <c r="E74" s="195">
        <v>1</v>
      </c>
      <c r="F74" s="103" t="s">
        <v>289</v>
      </c>
      <c r="G74" s="238">
        <f t="shared" si="0"/>
        <v>9.0849833317944041E-4</v>
      </c>
      <c r="H74" s="51" t="str">
        <f t="shared" si="1"/>
        <v>kg/kg biomass</v>
      </c>
      <c r="I74" s="238">
        <f t="shared" si="2"/>
        <v>9.0849833317944041E-4</v>
      </c>
      <c r="J74" s="103" t="s">
        <v>289</v>
      </c>
      <c r="K74" s="121" t="s">
        <v>280</v>
      </c>
      <c r="L74" s="103" t="s">
        <v>255</v>
      </c>
      <c r="M74" s="301">
        <v>15</v>
      </c>
      <c r="N74" s="303" t="s">
        <v>932</v>
      </c>
      <c r="O74" s="357" t="s">
        <v>822</v>
      </c>
      <c r="P74" s="357"/>
      <c r="Q74" s="357"/>
      <c r="R74" s="48"/>
      <c r="S74" s="48"/>
      <c r="T74" s="48"/>
      <c r="U74" s="48"/>
      <c r="V74" s="48"/>
      <c r="W74" s="48"/>
      <c r="X74" s="48"/>
    </row>
    <row r="75" spans="1:24" s="54" customFormat="1" ht="25.5" customHeight="1" x14ac:dyDescent="0.2">
      <c r="A75" s="48"/>
      <c r="B75" s="49"/>
      <c r="C75" s="103" t="s">
        <v>461</v>
      </c>
      <c r="D75" s="103" t="s">
        <v>476</v>
      </c>
      <c r="E75" s="195">
        <v>1</v>
      </c>
      <c r="F75" s="103" t="s">
        <v>289</v>
      </c>
      <c r="G75" s="238">
        <f t="shared" si="0"/>
        <v>1.5747304441776967E-3</v>
      </c>
      <c r="H75" s="51" t="str">
        <f t="shared" si="1"/>
        <v>kg/kg biomass</v>
      </c>
      <c r="I75" s="238">
        <f t="shared" si="2"/>
        <v>1.5747304441776967E-3</v>
      </c>
      <c r="J75" s="103" t="s">
        <v>289</v>
      </c>
      <c r="K75" s="121" t="s">
        <v>280</v>
      </c>
      <c r="L75" s="103" t="s">
        <v>255</v>
      </c>
      <c r="M75" s="301">
        <v>15</v>
      </c>
      <c r="N75" s="303" t="s">
        <v>932</v>
      </c>
      <c r="O75" s="357" t="s">
        <v>821</v>
      </c>
      <c r="P75" s="357"/>
      <c r="Q75" s="357"/>
      <c r="R75" s="48"/>
      <c r="S75" s="48"/>
      <c r="T75" s="48"/>
      <c r="U75" s="48"/>
      <c r="V75" s="48"/>
      <c r="W75" s="48"/>
      <c r="X75" s="48"/>
    </row>
    <row r="76" spans="1:24" s="54" customFormat="1" ht="25.5" customHeight="1" x14ac:dyDescent="0.2">
      <c r="A76" s="48"/>
      <c r="B76" s="49"/>
      <c r="C76" s="103" t="s">
        <v>455</v>
      </c>
      <c r="D76" s="103" t="s">
        <v>49</v>
      </c>
      <c r="E76" s="195">
        <v>1</v>
      </c>
      <c r="F76" s="103" t="s">
        <v>289</v>
      </c>
      <c r="G76" s="238">
        <f t="shared" si="0"/>
        <v>2.1428577472841557E-4</v>
      </c>
      <c r="H76" s="51" t="str">
        <f t="shared" si="1"/>
        <v>kg/kg biomass</v>
      </c>
      <c r="I76" s="238">
        <f t="shared" si="2"/>
        <v>2.1428577472841557E-4</v>
      </c>
      <c r="J76" s="103" t="s">
        <v>289</v>
      </c>
      <c r="K76" s="121" t="s">
        <v>280</v>
      </c>
      <c r="L76" s="103" t="s">
        <v>255</v>
      </c>
      <c r="M76" s="301"/>
      <c r="N76" s="303" t="s">
        <v>932</v>
      </c>
      <c r="O76" s="357" t="s">
        <v>820</v>
      </c>
      <c r="P76" s="357"/>
      <c r="Q76" s="357"/>
      <c r="R76" s="48"/>
      <c r="S76" s="48"/>
      <c r="T76" s="48"/>
      <c r="U76" s="48"/>
      <c r="V76" s="48"/>
      <c r="W76" s="48"/>
      <c r="X76" s="48"/>
    </row>
    <row r="77" spans="1:24" s="54" customFormat="1" ht="25.5" customHeight="1" x14ac:dyDescent="0.2">
      <c r="A77" s="48"/>
      <c r="B77" s="49"/>
      <c r="C77" s="103" t="s">
        <v>466</v>
      </c>
      <c r="D77" s="103" t="s">
        <v>477</v>
      </c>
      <c r="E77" s="195">
        <v>1</v>
      </c>
      <c r="F77" s="103" t="s">
        <v>478</v>
      </c>
      <c r="G77" s="240">
        <f t="shared" si="0"/>
        <v>42.920967318999708</v>
      </c>
      <c r="H77" s="51" t="str">
        <f t="shared" si="1"/>
        <v>L/kg biomass</v>
      </c>
      <c r="I77" s="238">
        <f t="shared" si="2"/>
        <v>42.920967318999708</v>
      </c>
      <c r="J77" s="103" t="s">
        <v>478</v>
      </c>
      <c r="K77" s="121"/>
      <c r="L77" s="103" t="s">
        <v>255</v>
      </c>
      <c r="M77" s="301" t="s">
        <v>929</v>
      </c>
      <c r="N77" s="303" t="s">
        <v>932</v>
      </c>
      <c r="O77" s="357" t="s">
        <v>824</v>
      </c>
      <c r="P77" s="357"/>
      <c r="Q77" s="357"/>
      <c r="R77" s="48"/>
      <c r="S77" s="48"/>
      <c r="T77" s="48"/>
      <c r="U77" s="48"/>
      <c r="V77" s="48"/>
      <c r="W77" s="48"/>
      <c r="X77" s="48"/>
    </row>
    <row r="78" spans="1:24" s="54" customFormat="1" ht="25.5" customHeight="1" x14ac:dyDescent="0.2">
      <c r="A78" s="48"/>
      <c r="B78" s="49"/>
      <c r="C78" s="103" t="s">
        <v>467</v>
      </c>
      <c r="D78" s="103" t="s">
        <v>479</v>
      </c>
      <c r="E78" s="195">
        <v>1</v>
      </c>
      <c r="F78" s="103" t="s">
        <v>478</v>
      </c>
      <c r="G78" s="240">
        <f t="shared" si="0"/>
        <v>42.920967318999708</v>
      </c>
      <c r="H78" s="51" t="str">
        <f t="shared" si="1"/>
        <v>L/kg biomass</v>
      </c>
      <c r="I78" s="238">
        <f t="shared" si="2"/>
        <v>42.920967318999708</v>
      </c>
      <c r="J78" s="103" t="s">
        <v>478</v>
      </c>
      <c r="K78" s="121"/>
      <c r="L78" s="103" t="s">
        <v>255</v>
      </c>
      <c r="M78" s="301" t="s">
        <v>929</v>
      </c>
      <c r="N78" s="303" t="s">
        <v>932</v>
      </c>
      <c r="O78" s="357" t="s">
        <v>825</v>
      </c>
      <c r="P78" s="357"/>
      <c r="Q78" s="357"/>
      <c r="R78" s="48"/>
      <c r="S78" s="48"/>
      <c r="T78" s="48"/>
      <c r="U78" s="48"/>
      <c r="V78" s="48"/>
      <c r="W78" s="48"/>
      <c r="X78" s="48"/>
    </row>
    <row r="79" spans="1:24" s="54" customFormat="1" ht="25.5" customHeight="1" x14ac:dyDescent="0.2">
      <c r="A79" s="48"/>
      <c r="B79" s="49"/>
      <c r="C79" s="103" t="s">
        <v>468</v>
      </c>
      <c r="D79" s="103" t="s">
        <v>480</v>
      </c>
      <c r="E79" s="195">
        <v>1</v>
      </c>
      <c r="F79" s="103" t="s">
        <v>478</v>
      </c>
      <c r="G79" s="240">
        <f t="shared" si="0"/>
        <v>348.1394806924971</v>
      </c>
      <c r="H79" s="51" t="str">
        <f t="shared" si="1"/>
        <v>L/kg biomass</v>
      </c>
      <c r="I79" s="238">
        <f t="shared" si="2"/>
        <v>348.1394806924971</v>
      </c>
      <c r="J79" s="103" t="s">
        <v>478</v>
      </c>
      <c r="K79" s="121"/>
      <c r="L79" s="103" t="s">
        <v>255</v>
      </c>
      <c r="M79" s="301" t="s">
        <v>929</v>
      </c>
      <c r="N79" s="303" t="s">
        <v>932</v>
      </c>
      <c r="O79" s="357" t="s">
        <v>826</v>
      </c>
      <c r="P79" s="357"/>
      <c r="Q79" s="357"/>
      <c r="R79" s="48"/>
      <c r="S79" s="48"/>
      <c r="T79" s="48"/>
      <c r="U79" s="48"/>
      <c r="V79" s="48"/>
      <c r="W79" s="48"/>
      <c r="X79" s="48"/>
    </row>
    <row r="80" spans="1:24" x14ac:dyDescent="0.2">
      <c r="B80" s="4"/>
      <c r="C80" s="12" t="s">
        <v>207</v>
      </c>
      <c r="D80" s="13" t="s">
        <v>209</v>
      </c>
      <c r="E80" s="14" t="s">
        <v>234</v>
      </c>
      <c r="F80" s="13"/>
      <c r="G80" s="13"/>
      <c r="H80" s="13"/>
      <c r="I80" s="14" t="s">
        <v>214</v>
      </c>
      <c r="J80" s="13"/>
      <c r="K80" s="14"/>
      <c r="L80" s="13" t="s">
        <v>258</v>
      </c>
      <c r="M80" s="11"/>
      <c r="N80" s="11"/>
      <c r="O80" s="351"/>
      <c r="P80" s="351"/>
      <c r="Q80" s="351"/>
    </row>
    <row r="81" spans="1:24" s="5" customFormat="1" ht="13.5" thickBot="1" x14ac:dyDescent="0.25">
      <c r="B81" s="4"/>
    </row>
    <row r="82" spans="1:24" s="2" customFormat="1" ht="13.5" thickBot="1" x14ac:dyDescent="0.25">
      <c r="A82" s="6"/>
      <c r="B82" s="348" t="s">
        <v>229</v>
      </c>
      <c r="C82" s="349"/>
      <c r="D82" s="349"/>
      <c r="E82" s="349"/>
      <c r="F82" s="349"/>
      <c r="G82" s="349"/>
      <c r="H82" s="349"/>
      <c r="I82" s="349"/>
      <c r="J82" s="349"/>
      <c r="K82" s="349"/>
      <c r="L82" s="349"/>
      <c r="M82" s="349"/>
      <c r="N82" s="349"/>
      <c r="O82" s="349"/>
      <c r="P82" s="349"/>
      <c r="Q82" s="350"/>
      <c r="R82" s="6"/>
      <c r="S82" s="6"/>
      <c r="T82" s="6"/>
      <c r="U82" s="6"/>
      <c r="V82" s="6"/>
      <c r="W82" s="6"/>
      <c r="X82" s="6"/>
    </row>
    <row r="83" spans="1:24" x14ac:dyDescent="0.2">
      <c r="B83" s="4"/>
      <c r="C83" s="5"/>
      <c r="D83" s="5"/>
      <c r="E83" s="5"/>
      <c r="F83" s="5"/>
      <c r="G83" s="5"/>
      <c r="H83" s="47" t="s">
        <v>356</v>
      </c>
      <c r="J83" s="5"/>
      <c r="K83" s="5"/>
      <c r="L83" s="5"/>
      <c r="M83" s="5"/>
      <c r="N83" s="5"/>
      <c r="O83" s="5"/>
    </row>
    <row r="84" spans="1:24" x14ac:dyDescent="0.2">
      <c r="B84" s="4"/>
      <c r="C84" s="3" t="s">
        <v>233</v>
      </c>
      <c r="D84" s="3" t="s">
        <v>238</v>
      </c>
      <c r="E84" s="3" t="s">
        <v>232</v>
      </c>
      <c r="F84" s="3" t="s">
        <v>239</v>
      </c>
      <c r="G84" s="3" t="s">
        <v>233</v>
      </c>
      <c r="H84" s="3" t="s">
        <v>235</v>
      </c>
      <c r="I84" s="3" t="s">
        <v>213</v>
      </c>
      <c r="J84" s="3" t="s">
        <v>212</v>
      </c>
      <c r="K84" s="3" t="s">
        <v>236</v>
      </c>
      <c r="L84" s="3" t="s">
        <v>237</v>
      </c>
      <c r="M84" s="3" t="s">
        <v>206</v>
      </c>
      <c r="N84" s="3" t="s">
        <v>316</v>
      </c>
      <c r="O84" s="358" t="s">
        <v>208</v>
      </c>
      <c r="P84" s="358"/>
      <c r="Q84" s="358"/>
    </row>
    <row r="85" spans="1:24" s="38" customFormat="1" ht="38.25" customHeight="1" x14ac:dyDescent="0.2">
      <c r="A85" s="19"/>
      <c r="B85" s="4"/>
      <c r="C85" s="103"/>
      <c r="D85" s="103" t="s">
        <v>481</v>
      </c>
      <c r="E85" s="103">
        <v>1</v>
      </c>
      <c r="F85" s="103" t="s">
        <v>289</v>
      </c>
      <c r="G85" s="51">
        <f>IF($C85="",1,VLOOKUP($C85,$C$22:$I$64,3,FALSE))</f>
        <v>1</v>
      </c>
      <c r="H85" s="51" t="str">
        <f>IF($C85="","",VLOOKUP($C85,$C$22:$I$64,6,FALSE))</f>
        <v/>
      </c>
      <c r="I85" s="104">
        <f>IF(D85="","",E85*G85*$D$5)</f>
        <v>1</v>
      </c>
      <c r="J85" s="103" t="s">
        <v>289</v>
      </c>
      <c r="K85" s="121" t="s">
        <v>280</v>
      </c>
      <c r="L85" s="103" t="s">
        <v>253</v>
      </c>
      <c r="M85" s="304"/>
      <c r="N85" s="304" t="s">
        <v>932</v>
      </c>
      <c r="O85" s="357" t="s">
        <v>22</v>
      </c>
      <c r="P85" s="357"/>
      <c r="Q85" s="357"/>
      <c r="R85" s="19"/>
      <c r="S85" s="19"/>
      <c r="T85" s="19"/>
      <c r="U85" s="19"/>
      <c r="V85" s="19"/>
      <c r="W85" s="19"/>
      <c r="X85" s="19"/>
    </row>
    <row r="86" spans="1:24" s="38" customFormat="1" x14ac:dyDescent="0.2">
      <c r="A86" s="19"/>
      <c r="B86" s="4"/>
      <c r="C86" s="103" t="s">
        <v>695</v>
      </c>
      <c r="D86" s="103" t="s">
        <v>705</v>
      </c>
      <c r="E86" s="103">
        <v>-1</v>
      </c>
      <c r="F86" s="103" t="s">
        <v>289</v>
      </c>
      <c r="G86" s="239">
        <f>IF($C86="",1,VLOOKUP($C86,$C$22:$I$64,3,FALSE))</f>
        <v>0.98689083733670835</v>
      </c>
      <c r="H86" s="51" t="str">
        <f t="shared" ref="H86:H94" si="3">IF($C86="","",VLOOKUP($C86,$C$22:$I$64,6,FALSE))</f>
        <v>kg/kg biomass</v>
      </c>
      <c r="I86" s="238">
        <f t="shared" ref="I86:I94" si="4">IF(D86="","",E86*G86*$D$5)</f>
        <v>-0.98689083733670835</v>
      </c>
      <c r="J86" s="103" t="s">
        <v>289</v>
      </c>
      <c r="K86" s="121"/>
      <c r="L86" s="103" t="s">
        <v>255</v>
      </c>
      <c r="M86" s="304">
        <v>31</v>
      </c>
      <c r="N86" s="304" t="s">
        <v>932</v>
      </c>
      <c r="O86" s="357" t="s">
        <v>689</v>
      </c>
      <c r="P86" s="357"/>
      <c r="Q86" s="357"/>
      <c r="R86" s="19"/>
      <c r="S86" s="19"/>
      <c r="T86" s="19"/>
      <c r="U86" s="19"/>
      <c r="V86" s="19"/>
      <c r="W86" s="19"/>
      <c r="X86" s="19"/>
    </row>
    <row r="87" spans="1:24" s="38" customFormat="1" x14ac:dyDescent="0.2">
      <c r="A87" s="19"/>
      <c r="B87" s="4"/>
      <c r="C87" s="103" t="s">
        <v>924</v>
      </c>
      <c r="D87" s="103" t="s">
        <v>926</v>
      </c>
      <c r="E87" s="103">
        <v>1</v>
      </c>
      <c r="F87" s="103" t="s">
        <v>289</v>
      </c>
      <c r="G87" s="238">
        <f>IF($C87="",1,VLOOKUP($C87,$C$22:$I$83,3,FALSE))</f>
        <v>3.7316569035345516E-5</v>
      </c>
      <c r="H87" s="51" t="str">
        <f t="shared" si="3"/>
        <v>kg/kg biomass</v>
      </c>
      <c r="I87" s="238">
        <f t="shared" si="4"/>
        <v>3.7316569035345516E-5</v>
      </c>
      <c r="J87" s="103" t="s">
        <v>289</v>
      </c>
      <c r="K87" s="121"/>
      <c r="L87" s="103" t="s">
        <v>255</v>
      </c>
      <c r="M87" s="304">
        <v>31</v>
      </c>
      <c r="N87" s="304" t="s">
        <v>932</v>
      </c>
      <c r="O87" s="357" t="s">
        <v>689</v>
      </c>
      <c r="P87" s="357"/>
      <c r="Q87" s="357"/>
      <c r="R87" s="19"/>
      <c r="S87" s="19"/>
      <c r="T87" s="19"/>
      <c r="U87" s="19"/>
      <c r="V87" s="19"/>
      <c r="W87" s="19"/>
      <c r="X87" s="19"/>
    </row>
    <row r="88" spans="1:24" s="38" customFormat="1" x14ac:dyDescent="0.2">
      <c r="A88" s="19"/>
      <c r="B88" s="4"/>
      <c r="C88" s="103" t="s">
        <v>1109</v>
      </c>
      <c r="D88" s="316" t="s">
        <v>1124</v>
      </c>
      <c r="E88" s="103">
        <v>1</v>
      </c>
      <c r="F88" s="103" t="s">
        <v>289</v>
      </c>
      <c r="G88" s="238">
        <f>IF($C88="",1,VLOOKUP($C88,$C$22:$I$83,3,FALSE))</f>
        <v>1.4081724164281327E-4</v>
      </c>
      <c r="H88" s="51" t="str">
        <f t="shared" si="3"/>
        <v>kg/kg biomass</v>
      </c>
      <c r="I88" s="238">
        <f>IF(D88="","",E88*G88*$D$5)</f>
        <v>1.4081724164281327E-4</v>
      </c>
      <c r="J88" s="103" t="s">
        <v>289</v>
      </c>
      <c r="K88" s="121"/>
      <c r="L88" s="103" t="s">
        <v>255</v>
      </c>
      <c r="M88" s="304">
        <v>32</v>
      </c>
      <c r="N88" s="304" t="s">
        <v>932</v>
      </c>
      <c r="O88" s="357" t="s">
        <v>689</v>
      </c>
      <c r="P88" s="357"/>
      <c r="Q88" s="357"/>
      <c r="R88" s="19"/>
      <c r="S88" s="19"/>
      <c r="T88" s="19"/>
      <c r="U88" s="19"/>
      <c r="V88" s="19"/>
      <c r="W88" s="19"/>
      <c r="X88" s="19"/>
    </row>
    <row r="89" spans="1:24" s="38" customFormat="1" x14ac:dyDescent="0.2">
      <c r="A89" s="19"/>
      <c r="B89" s="4"/>
      <c r="C89" s="103" t="s">
        <v>1111</v>
      </c>
      <c r="D89" s="316" t="s">
        <v>1125</v>
      </c>
      <c r="E89" s="103">
        <v>1</v>
      </c>
      <c r="F89" s="103" t="s">
        <v>289</v>
      </c>
      <c r="G89" s="238">
        <f>IF($C89="",1,VLOOKUP($C89,$C$22:$I$83,3,FALSE))</f>
        <v>1.4081724164281327E-4</v>
      </c>
      <c r="H89" s="51" t="str">
        <f t="shared" si="3"/>
        <v>kg/kg biomass</v>
      </c>
      <c r="I89" s="238">
        <f>IF(D89="","",E89*G89*$D$5)</f>
        <v>1.4081724164281327E-4</v>
      </c>
      <c r="J89" s="103" t="s">
        <v>289</v>
      </c>
      <c r="K89" s="121"/>
      <c r="L89" s="103" t="s">
        <v>255</v>
      </c>
      <c r="M89" s="304">
        <v>32</v>
      </c>
      <c r="N89" s="304" t="s">
        <v>932</v>
      </c>
      <c r="O89" s="357" t="s">
        <v>689</v>
      </c>
      <c r="P89" s="357"/>
      <c r="Q89" s="357"/>
      <c r="R89" s="19"/>
      <c r="S89" s="19"/>
      <c r="T89" s="19"/>
      <c r="U89" s="19"/>
      <c r="V89" s="19"/>
      <c r="W89" s="19"/>
      <c r="X89" s="19"/>
    </row>
    <row r="90" spans="1:24" s="38" customFormat="1" x14ac:dyDescent="0.2">
      <c r="A90" s="19"/>
      <c r="B90" s="4"/>
      <c r="C90" s="103" t="s">
        <v>1091</v>
      </c>
      <c r="D90" s="316" t="s">
        <v>1095</v>
      </c>
      <c r="E90" s="103">
        <v>1</v>
      </c>
      <c r="F90" s="103" t="s">
        <v>289</v>
      </c>
      <c r="G90" s="238">
        <f>IF($C90="",1,VLOOKUP($C90,$C$22:$I$83,3,FALSE))</f>
        <v>1.3186813186813182E-5</v>
      </c>
      <c r="H90" s="51" t="str">
        <f t="shared" si="3"/>
        <v>kg/kg biomass</v>
      </c>
      <c r="I90" s="238">
        <f t="shared" si="4"/>
        <v>1.3186813186813182E-5</v>
      </c>
      <c r="J90" s="103" t="s">
        <v>289</v>
      </c>
      <c r="K90" s="121"/>
      <c r="L90" s="103" t="s">
        <v>255</v>
      </c>
      <c r="M90" s="304">
        <v>11</v>
      </c>
      <c r="N90" s="304" t="s">
        <v>933</v>
      </c>
      <c r="O90" s="357" t="s">
        <v>689</v>
      </c>
      <c r="P90" s="357"/>
      <c r="Q90" s="357"/>
      <c r="R90" s="19"/>
      <c r="S90" s="19"/>
      <c r="T90" s="19"/>
      <c r="U90" s="19"/>
      <c r="V90" s="19"/>
      <c r="W90" s="19"/>
      <c r="X90" s="19"/>
    </row>
    <row r="91" spans="1:24" s="38" customFormat="1" x14ac:dyDescent="0.2">
      <c r="A91" s="19"/>
      <c r="B91" s="4"/>
      <c r="C91" s="103" t="s">
        <v>1092</v>
      </c>
      <c r="D91" s="316" t="s">
        <v>1096</v>
      </c>
      <c r="E91" s="103">
        <v>1</v>
      </c>
      <c r="F91" s="103" t="s">
        <v>289</v>
      </c>
      <c r="G91" s="238">
        <f>IF($C91="",1,VLOOKUP($C91,$C$22:$I$83,3,FALSE))</f>
        <v>1.9780219780219774E-6</v>
      </c>
      <c r="H91" s="51" t="str">
        <f t="shared" si="3"/>
        <v>kg/kg biomass</v>
      </c>
      <c r="I91" s="238">
        <f>IF(D91="","",E91*G91*$D$5)</f>
        <v>1.9780219780219774E-6</v>
      </c>
      <c r="J91" s="103" t="s">
        <v>289</v>
      </c>
      <c r="K91" s="121"/>
      <c r="L91" s="103" t="s">
        <v>255</v>
      </c>
      <c r="M91" s="304">
        <v>11</v>
      </c>
      <c r="N91" s="304" t="s">
        <v>933</v>
      </c>
      <c r="O91" s="357" t="s">
        <v>689</v>
      </c>
      <c r="P91" s="357"/>
      <c r="Q91" s="357"/>
      <c r="R91" s="19"/>
      <c r="S91" s="19"/>
      <c r="T91" s="19"/>
      <c r="U91" s="19"/>
      <c r="V91" s="19"/>
      <c r="W91" s="19"/>
      <c r="X91" s="19"/>
    </row>
    <row r="92" spans="1:24" s="38" customFormat="1" x14ac:dyDescent="0.2">
      <c r="A92" s="19"/>
      <c r="B92" s="4"/>
      <c r="C92" s="103" t="s">
        <v>472</v>
      </c>
      <c r="D92" s="103" t="s">
        <v>482</v>
      </c>
      <c r="E92" s="103">
        <v>1</v>
      </c>
      <c r="F92" s="103" t="s">
        <v>289</v>
      </c>
      <c r="G92" s="238">
        <f>IF($C92="",1,VLOOKUP($C92,$C$22:$I$64,3,FALSE))</f>
        <v>3.4922439969422509E-5</v>
      </c>
      <c r="H92" s="51" t="str">
        <f t="shared" si="3"/>
        <v>kg-N/kg biomass</v>
      </c>
      <c r="I92" s="238">
        <f t="shared" si="4"/>
        <v>3.4922439969422509E-5</v>
      </c>
      <c r="J92" s="103" t="s">
        <v>289</v>
      </c>
      <c r="K92" s="121"/>
      <c r="L92" s="103" t="s">
        <v>255</v>
      </c>
      <c r="M92" s="304">
        <v>22</v>
      </c>
      <c r="N92" s="304" t="s">
        <v>932</v>
      </c>
      <c r="O92" s="357" t="s">
        <v>688</v>
      </c>
      <c r="P92" s="357"/>
      <c r="Q92" s="357"/>
      <c r="R92" s="19"/>
      <c r="S92" s="19"/>
      <c r="T92" s="19"/>
      <c r="U92" s="19"/>
      <c r="V92" s="19"/>
      <c r="W92" s="19"/>
      <c r="X92" s="19"/>
    </row>
    <row r="93" spans="1:24" s="38" customFormat="1" x14ac:dyDescent="0.2">
      <c r="A93" s="19"/>
      <c r="B93" s="4"/>
      <c r="C93" s="103" t="s">
        <v>473</v>
      </c>
      <c r="D93" s="103" t="s">
        <v>483</v>
      </c>
      <c r="E93" s="103">
        <v>1</v>
      </c>
      <c r="F93" s="103" t="s">
        <v>289</v>
      </c>
      <c r="G93" s="238">
        <f>IF($C93="",1,VLOOKUP($C93,$C$22:$I$64,3,FALSE))</f>
        <v>3.7010727367930918E-8</v>
      </c>
      <c r="H93" s="51" t="str">
        <f t="shared" si="3"/>
        <v>kg-P/kg biomass</v>
      </c>
      <c r="I93" s="238">
        <f t="shared" si="4"/>
        <v>3.7010727367930918E-8</v>
      </c>
      <c r="J93" s="103" t="s">
        <v>289</v>
      </c>
      <c r="K93" s="121"/>
      <c r="L93" s="103" t="s">
        <v>255</v>
      </c>
      <c r="M93" s="304">
        <v>22</v>
      </c>
      <c r="N93" s="304" t="s">
        <v>932</v>
      </c>
      <c r="O93" s="357" t="s">
        <v>688</v>
      </c>
      <c r="P93" s="357"/>
      <c r="Q93" s="357"/>
      <c r="R93" s="19"/>
      <c r="S93" s="19"/>
      <c r="T93" s="19"/>
      <c r="U93" s="19"/>
      <c r="V93" s="19"/>
      <c r="W93" s="19"/>
      <c r="X93" s="19"/>
    </row>
    <row r="94" spans="1:24" s="38" customFormat="1" x14ac:dyDescent="0.2">
      <c r="A94" s="19"/>
      <c r="B94" s="4"/>
      <c r="C94" s="103" t="s">
        <v>469</v>
      </c>
      <c r="D94" s="103" t="s">
        <v>484</v>
      </c>
      <c r="E94" s="103">
        <v>1</v>
      </c>
      <c r="F94" s="103" t="s">
        <v>478</v>
      </c>
      <c r="G94" s="52">
        <f>IF($C94="",1,VLOOKUP($C94,$C$22:$I$64,3,FALSE))</f>
        <v>11.072580163535065</v>
      </c>
      <c r="H94" s="51" t="str">
        <f t="shared" si="3"/>
        <v>L/kg biomass</v>
      </c>
      <c r="I94" s="238">
        <f t="shared" si="4"/>
        <v>11.072580163535065</v>
      </c>
      <c r="J94" s="103" t="s">
        <v>478</v>
      </c>
      <c r="K94" s="121"/>
      <c r="L94" s="103" t="s">
        <v>255</v>
      </c>
      <c r="M94" s="304" t="s">
        <v>697</v>
      </c>
      <c r="N94" s="304" t="s">
        <v>932</v>
      </c>
      <c r="O94" s="357" t="s">
        <v>827</v>
      </c>
      <c r="P94" s="357"/>
      <c r="Q94" s="357"/>
      <c r="R94" s="19"/>
      <c r="S94" s="19"/>
      <c r="T94" s="19"/>
      <c r="U94" s="19"/>
      <c r="V94" s="19"/>
      <c r="W94" s="19"/>
      <c r="X94" s="19"/>
    </row>
    <row r="95" spans="1:24" x14ac:dyDescent="0.2">
      <c r="B95" s="4"/>
      <c r="C95" s="12" t="s">
        <v>207</v>
      </c>
      <c r="D95" s="13" t="s">
        <v>209</v>
      </c>
      <c r="E95" s="14" t="s">
        <v>234</v>
      </c>
      <c r="F95" s="13"/>
      <c r="G95" s="17"/>
      <c r="H95" s="17"/>
      <c r="I95" s="17"/>
      <c r="J95" s="13"/>
      <c r="K95" s="14"/>
      <c r="L95" s="13" t="s">
        <v>258</v>
      </c>
      <c r="M95" s="11"/>
      <c r="N95" s="11"/>
      <c r="O95" s="351"/>
      <c r="P95" s="351"/>
      <c r="Q95" s="351"/>
    </row>
    <row r="96" spans="1:24" x14ac:dyDescent="0.2">
      <c r="B96" s="4"/>
      <c r="C96" s="5"/>
      <c r="D96" s="5"/>
      <c r="E96" s="5"/>
      <c r="F96" s="5"/>
      <c r="G96" s="5"/>
      <c r="H96" s="5"/>
      <c r="J96" s="5"/>
      <c r="K96" s="5"/>
      <c r="L96" s="5"/>
      <c r="M96" s="5"/>
      <c r="N96" s="5"/>
      <c r="O96" s="5"/>
    </row>
    <row r="97" spans="2:17" x14ac:dyDescent="0.2">
      <c r="B97" s="4"/>
      <c r="C97" s="352" t="s">
        <v>1083</v>
      </c>
      <c r="D97" s="353"/>
      <c r="E97" s="353"/>
      <c r="F97" s="353"/>
      <c r="G97" s="353"/>
      <c r="H97" s="353"/>
      <c r="I97" s="353"/>
      <c r="J97" s="353"/>
      <c r="K97" s="353"/>
      <c r="L97" s="353"/>
      <c r="M97" s="353"/>
      <c r="N97" s="353"/>
      <c r="O97" s="353"/>
      <c r="P97" s="353"/>
      <c r="Q97" s="354"/>
    </row>
    <row r="98" spans="2:17" x14ac:dyDescent="0.2">
      <c r="B98" s="4"/>
      <c r="C98" s="5"/>
      <c r="D98" s="5"/>
      <c r="E98" s="5"/>
      <c r="F98" s="5"/>
      <c r="G98" s="5"/>
      <c r="H98" s="5"/>
      <c r="J98" s="5"/>
      <c r="K98" s="5"/>
      <c r="L98" s="5"/>
      <c r="M98" s="5"/>
      <c r="N98" s="5"/>
      <c r="O98" s="5"/>
    </row>
    <row r="99" spans="2:17" x14ac:dyDescent="0.2">
      <c r="B99" s="4"/>
      <c r="C99" s="5"/>
      <c r="D99" s="5"/>
      <c r="E99" s="5"/>
      <c r="F99" s="5"/>
      <c r="G99" s="5"/>
      <c r="H99" s="5"/>
      <c r="J99" s="5"/>
      <c r="K99" s="5"/>
      <c r="L99" s="5"/>
      <c r="M99" s="5"/>
      <c r="N99" s="5"/>
      <c r="O99" s="5"/>
    </row>
    <row r="100" spans="2:17" x14ac:dyDescent="0.2">
      <c r="B100" s="4"/>
      <c r="C100" s="5"/>
      <c r="D100" s="5"/>
      <c r="E100" s="5"/>
      <c r="F100" s="5"/>
      <c r="G100" s="5"/>
      <c r="H100" s="5"/>
      <c r="J100" s="5"/>
      <c r="K100" s="5"/>
      <c r="L100" s="5"/>
      <c r="M100" s="5"/>
      <c r="N100" s="5"/>
      <c r="O100" s="5"/>
    </row>
    <row r="101" spans="2:17" x14ac:dyDescent="0.2">
      <c r="B101" s="4"/>
      <c r="C101" s="5"/>
      <c r="D101" s="5"/>
      <c r="E101" s="5"/>
      <c r="F101" s="5"/>
      <c r="G101" s="5"/>
      <c r="H101" s="5"/>
      <c r="J101" s="5"/>
      <c r="K101" s="5"/>
      <c r="L101" s="5"/>
      <c r="M101" s="5"/>
      <c r="N101" s="5"/>
      <c r="O101" s="5"/>
    </row>
    <row r="102" spans="2:17" x14ac:dyDescent="0.2">
      <c r="B102" s="4"/>
      <c r="C102" s="5"/>
      <c r="D102" s="5"/>
      <c r="E102" s="5"/>
      <c r="F102" s="5"/>
      <c r="G102" s="5"/>
      <c r="H102" s="5"/>
      <c r="J102" s="5"/>
      <c r="K102" s="5"/>
      <c r="L102" s="5"/>
      <c r="M102" s="5"/>
      <c r="N102" s="5"/>
      <c r="O102" s="5"/>
    </row>
    <row r="103" spans="2:17" x14ac:dyDescent="0.2">
      <c r="B103" s="4"/>
      <c r="C103" s="5"/>
      <c r="D103" s="5"/>
      <c r="E103" s="5"/>
      <c r="F103" s="5"/>
      <c r="G103" s="5"/>
      <c r="H103" s="5"/>
      <c r="J103" s="5"/>
      <c r="K103" s="5"/>
      <c r="L103" s="5"/>
      <c r="M103" s="5"/>
      <c r="N103" s="5"/>
      <c r="O103" s="5"/>
    </row>
    <row r="104" spans="2:17" x14ac:dyDescent="0.2">
      <c r="B104" s="4"/>
      <c r="C104" s="5"/>
      <c r="D104" s="5"/>
      <c r="E104" s="5"/>
      <c r="F104" s="5"/>
      <c r="G104" s="5"/>
      <c r="H104" s="5"/>
      <c r="J104" s="5"/>
      <c r="K104" s="5"/>
      <c r="L104" s="5"/>
      <c r="M104" s="5"/>
      <c r="N104" s="5"/>
      <c r="O104" s="5"/>
    </row>
    <row r="105" spans="2:17" x14ac:dyDescent="0.2">
      <c r="B105" s="4"/>
      <c r="C105" s="5"/>
      <c r="D105" s="5"/>
      <c r="E105" s="5"/>
      <c r="F105" s="5"/>
      <c r="G105" s="5"/>
      <c r="H105" s="5"/>
      <c r="J105" s="5"/>
      <c r="K105" s="5"/>
      <c r="L105" s="5"/>
      <c r="M105" s="5"/>
      <c r="N105" s="5"/>
      <c r="O105" s="5"/>
    </row>
    <row r="106" spans="2:17" x14ac:dyDescent="0.2">
      <c r="B106" s="4"/>
      <c r="C106" s="5"/>
      <c r="D106" s="5"/>
      <c r="E106" s="5"/>
      <c r="F106" s="5"/>
      <c r="G106" s="5"/>
      <c r="H106" s="5"/>
      <c r="J106" s="5"/>
      <c r="K106" s="5"/>
      <c r="L106" s="5"/>
      <c r="M106" s="5"/>
      <c r="N106" s="5"/>
      <c r="O106" s="5"/>
    </row>
    <row r="107" spans="2:17" x14ac:dyDescent="0.2">
      <c r="B107" s="4"/>
      <c r="C107" s="5"/>
      <c r="D107" s="5"/>
      <c r="E107" s="5"/>
      <c r="F107" s="5"/>
      <c r="G107" s="5"/>
      <c r="H107" s="5"/>
      <c r="J107" s="5"/>
      <c r="K107" s="5"/>
      <c r="L107" s="5"/>
      <c r="M107" s="5"/>
      <c r="N107" s="5"/>
      <c r="O107" s="5"/>
    </row>
    <row r="108" spans="2:17" x14ac:dyDescent="0.2">
      <c r="B108" s="4"/>
      <c r="C108" s="5"/>
      <c r="D108" s="5"/>
      <c r="E108" s="5"/>
      <c r="F108" s="5"/>
      <c r="G108" s="5"/>
      <c r="H108" s="5"/>
      <c r="J108" s="5"/>
      <c r="K108" s="5"/>
      <c r="L108" s="5"/>
      <c r="M108" s="5"/>
      <c r="N108" s="5"/>
      <c r="O108" s="5"/>
    </row>
    <row r="109" spans="2:17" x14ac:dyDescent="0.2">
      <c r="B109" s="4"/>
      <c r="C109" s="5"/>
      <c r="D109" s="5"/>
      <c r="E109" s="5"/>
      <c r="F109" s="5"/>
      <c r="G109" s="5"/>
      <c r="H109" s="5"/>
      <c r="J109" s="5"/>
      <c r="K109" s="5"/>
      <c r="L109" s="5"/>
      <c r="M109" s="5"/>
      <c r="N109" s="5"/>
      <c r="O109" s="5"/>
    </row>
    <row r="110" spans="2:17" x14ac:dyDescent="0.2">
      <c r="B110" s="4"/>
      <c r="C110" s="5"/>
      <c r="D110" s="5"/>
      <c r="E110" s="5"/>
      <c r="F110" s="5"/>
      <c r="G110" s="5"/>
      <c r="H110" s="5"/>
      <c r="J110" s="5"/>
      <c r="K110" s="5"/>
      <c r="L110" s="5"/>
      <c r="M110" s="5"/>
      <c r="N110" s="5"/>
      <c r="O110" s="5"/>
    </row>
    <row r="111" spans="2:17" x14ac:dyDescent="0.2">
      <c r="B111" s="4"/>
      <c r="C111" s="5"/>
      <c r="D111" s="5"/>
      <c r="E111" s="5"/>
      <c r="F111" s="5"/>
      <c r="G111" s="5"/>
      <c r="H111" s="5"/>
      <c r="J111" s="5"/>
      <c r="K111" s="5"/>
      <c r="L111" s="5"/>
      <c r="M111" s="5"/>
      <c r="N111" s="5"/>
      <c r="O111" s="5"/>
    </row>
    <row r="112" spans="2:17" x14ac:dyDescent="0.2">
      <c r="B112" s="4"/>
      <c r="C112" s="5"/>
      <c r="D112" s="5"/>
      <c r="E112" s="5"/>
      <c r="F112" s="5"/>
      <c r="G112" s="5"/>
      <c r="H112" s="5"/>
      <c r="J112" s="5"/>
      <c r="K112" s="5"/>
      <c r="L112" s="5"/>
      <c r="M112" s="5"/>
      <c r="N112" s="5"/>
      <c r="O112" s="5"/>
    </row>
    <row r="113" spans="2:15" x14ac:dyDescent="0.2">
      <c r="B113" s="4"/>
      <c r="C113" s="5"/>
      <c r="D113" s="5"/>
      <c r="E113" s="5"/>
      <c r="F113" s="5"/>
      <c r="G113" s="5"/>
      <c r="H113" s="5"/>
      <c r="J113" s="5"/>
      <c r="K113" s="5"/>
      <c r="L113" s="5"/>
      <c r="M113" s="5"/>
      <c r="N113" s="5"/>
      <c r="O113" s="5"/>
    </row>
    <row r="114" spans="2:15" x14ac:dyDescent="0.2">
      <c r="B114" s="4"/>
      <c r="C114" s="5"/>
      <c r="D114" s="5"/>
      <c r="E114" s="5"/>
      <c r="F114" s="5"/>
      <c r="G114" s="5"/>
      <c r="H114" s="5"/>
      <c r="J114" s="5"/>
      <c r="K114" s="5"/>
      <c r="L114" s="5"/>
      <c r="M114" s="5"/>
      <c r="N114" s="5"/>
      <c r="O114" s="5"/>
    </row>
    <row r="115" spans="2:15" x14ac:dyDescent="0.2">
      <c r="B115" s="4"/>
      <c r="C115" s="5"/>
      <c r="D115" s="5"/>
      <c r="E115" s="5"/>
      <c r="F115" s="5"/>
      <c r="G115" s="5"/>
      <c r="H115" s="5"/>
      <c r="J115" s="5"/>
      <c r="K115" s="5"/>
      <c r="L115" s="5"/>
      <c r="M115" s="5"/>
      <c r="N115" s="5"/>
      <c r="O115" s="5"/>
    </row>
    <row r="116" spans="2:15" x14ac:dyDescent="0.2">
      <c r="B116" s="4"/>
      <c r="C116" s="5"/>
      <c r="D116" s="5"/>
      <c r="E116" s="5"/>
      <c r="F116" s="5"/>
      <c r="G116" s="5"/>
      <c r="H116" s="5"/>
      <c r="J116" s="5"/>
      <c r="K116" s="5"/>
      <c r="L116" s="5"/>
      <c r="M116" s="5"/>
      <c r="N116" s="5"/>
      <c r="O116" s="5"/>
    </row>
    <row r="117" spans="2:15" x14ac:dyDescent="0.2">
      <c r="B117" s="4"/>
      <c r="C117" s="5"/>
      <c r="D117" s="5"/>
      <c r="E117" s="5"/>
      <c r="F117" s="5"/>
      <c r="G117" s="5"/>
      <c r="H117" s="5"/>
      <c r="J117" s="5"/>
      <c r="K117" s="5"/>
      <c r="L117" s="5"/>
      <c r="M117" s="5"/>
      <c r="N117" s="5"/>
      <c r="O117" s="5"/>
    </row>
    <row r="118" spans="2:15" x14ac:dyDescent="0.2">
      <c r="B118" s="4"/>
      <c r="C118" s="5"/>
      <c r="D118" s="5"/>
      <c r="E118" s="5"/>
      <c r="F118" s="5"/>
      <c r="G118" s="5"/>
      <c r="H118" s="5"/>
      <c r="J118" s="5"/>
      <c r="K118" s="5"/>
      <c r="L118" s="5"/>
      <c r="M118" s="5"/>
      <c r="N118" s="5"/>
      <c r="O118" s="5"/>
    </row>
    <row r="119" spans="2:15" x14ac:dyDescent="0.2">
      <c r="B119" s="4"/>
      <c r="C119" s="5"/>
      <c r="D119" s="5"/>
      <c r="E119" s="5"/>
      <c r="F119" s="5"/>
      <c r="G119" s="5"/>
      <c r="H119" s="5"/>
      <c r="J119" s="5"/>
      <c r="K119" s="5"/>
      <c r="L119" s="5"/>
      <c r="M119" s="5"/>
      <c r="N119" s="5"/>
      <c r="O119" s="5"/>
    </row>
    <row r="120" spans="2:15" x14ac:dyDescent="0.2">
      <c r="B120" s="4"/>
      <c r="C120" s="5"/>
      <c r="D120" s="5"/>
      <c r="E120" s="5"/>
      <c r="F120" s="5"/>
      <c r="G120" s="5"/>
      <c r="H120" s="5"/>
      <c r="J120" s="5"/>
      <c r="K120" s="5"/>
      <c r="L120" s="5"/>
      <c r="M120" s="5"/>
      <c r="N120" s="5"/>
      <c r="O120" s="5"/>
    </row>
    <row r="121" spans="2:15" x14ac:dyDescent="0.2">
      <c r="B121" s="4"/>
      <c r="C121" s="5"/>
      <c r="D121" s="5"/>
      <c r="E121" s="5"/>
      <c r="F121" s="5"/>
      <c r="G121" s="5"/>
      <c r="H121" s="5"/>
      <c r="J121" s="5"/>
      <c r="K121" s="5"/>
      <c r="L121" s="5"/>
      <c r="M121" s="5"/>
      <c r="N121" s="5"/>
      <c r="O121" s="5"/>
    </row>
    <row r="122" spans="2:15" x14ac:dyDescent="0.2">
      <c r="B122" s="4"/>
      <c r="C122" s="5"/>
      <c r="D122" s="5"/>
      <c r="E122" s="5"/>
      <c r="F122" s="5"/>
      <c r="G122" s="5"/>
      <c r="H122" s="5"/>
      <c r="J122" s="5"/>
      <c r="K122" s="5"/>
      <c r="L122" s="5"/>
      <c r="M122" s="5"/>
      <c r="N122" s="5"/>
      <c r="O122" s="5"/>
    </row>
    <row r="123" spans="2:15" x14ac:dyDescent="0.2">
      <c r="B123" s="4"/>
      <c r="C123" s="5"/>
      <c r="D123" s="5"/>
      <c r="E123" s="5"/>
      <c r="F123" s="5"/>
      <c r="G123" s="5"/>
      <c r="H123" s="5"/>
      <c r="J123" s="5"/>
      <c r="K123" s="5"/>
      <c r="L123" s="5"/>
      <c r="M123" s="5"/>
      <c r="N123" s="5"/>
      <c r="O123" s="5"/>
    </row>
    <row r="124" spans="2:15" x14ac:dyDescent="0.2">
      <c r="B124" s="4"/>
      <c r="C124" s="5"/>
      <c r="D124" s="5"/>
      <c r="E124" s="5"/>
      <c r="F124" s="5"/>
      <c r="G124" s="5"/>
      <c r="H124" s="5"/>
      <c r="J124" s="5"/>
      <c r="K124" s="5"/>
      <c r="L124" s="5"/>
      <c r="M124" s="5"/>
      <c r="N124" s="5"/>
      <c r="O124" s="5"/>
    </row>
    <row r="125" spans="2:15" x14ac:dyDescent="0.2">
      <c r="B125" s="4"/>
      <c r="C125" s="5"/>
      <c r="D125" s="5"/>
      <c r="E125" s="5"/>
      <c r="F125" s="5"/>
      <c r="G125" s="5"/>
      <c r="H125" s="5"/>
      <c r="J125" s="5"/>
      <c r="K125" s="5"/>
      <c r="L125" s="5"/>
      <c r="M125" s="5"/>
      <c r="N125" s="5"/>
      <c r="O125" s="5"/>
    </row>
    <row r="126" spans="2:15" x14ac:dyDescent="0.2">
      <c r="B126" s="4"/>
      <c r="C126" s="5"/>
      <c r="D126" s="5"/>
      <c r="E126" s="5"/>
      <c r="F126" s="5"/>
      <c r="G126" s="5"/>
      <c r="H126" s="5"/>
      <c r="J126" s="5"/>
      <c r="K126" s="5"/>
      <c r="L126" s="5"/>
      <c r="M126" s="5"/>
      <c r="N126" s="5"/>
      <c r="O126" s="5"/>
    </row>
    <row r="127" spans="2:15" x14ac:dyDescent="0.2">
      <c r="B127" s="4"/>
      <c r="C127" s="5"/>
      <c r="D127" s="5"/>
      <c r="E127" s="5"/>
      <c r="F127" s="5"/>
      <c r="G127" s="5"/>
      <c r="H127" s="5"/>
      <c r="J127" s="5"/>
      <c r="K127" s="5"/>
      <c r="L127" s="5"/>
      <c r="M127" s="5"/>
      <c r="N127" s="5"/>
      <c r="O127" s="5"/>
    </row>
    <row r="128" spans="2:15" x14ac:dyDescent="0.2">
      <c r="B128" s="4"/>
      <c r="C128" s="5"/>
      <c r="D128" s="5"/>
      <c r="E128" s="5"/>
      <c r="F128" s="5"/>
      <c r="G128" s="5"/>
      <c r="H128" s="5"/>
      <c r="J128" s="5"/>
      <c r="K128" s="5"/>
      <c r="L128" s="5"/>
      <c r="M128" s="5"/>
      <c r="N128" s="5"/>
      <c r="O128" s="5"/>
    </row>
    <row r="129" spans="2:15" x14ac:dyDescent="0.2">
      <c r="B129" s="4"/>
      <c r="C129" s="5"/>
      <c r="D129" s="5"/>
      <c r="E129" s="5"/>
      <c r="F129" s="5"/>
      <c r="G129" s="5"/>
      <c r="H129" s="5"/>
      <c r="J129" s="5"/>
      <c r="K129" s="5"/>
      <c r="L129" s="5"/>
      <c r="M129" s="5"/>
      <c r="N129" s="5"/>
      <c r="O129" s="5"/>
    </row>
    <row r="130" spans="2:15" x14ac:dyDescent="0.2">
      <c r="B130" s="4"/>
      <c r="C130" s="5"/>
      <c r="D130" s="5"/>
      <c r="E130" s="5"/>
      <c r="F130" s="5"/>
      <c r="G130" s="5"/>
      <c r="H130" s="5"/>
      <c r="J130" s="5"/>
      <c r="K130" s="5"/>
      <c r="L130" s="5"/>
      <c r="M130" s="5"/>
      <c r="N130" s="5"/>
      <c r="O130" s="5"/>
    </row>
    <row r="131" spans="2:15" x14ac:dyDescent="0.2">
      <c r="B131" s="4"/>
      <c r="C131" s="5"/>
      <c r="D131" s="5"/>
      <c r="E131" s="5"/>
      <c r="F131" s="5"/>
      <c r="G131" s="5"/>
      <c r="H131" s="5"/>
      <c r="J131" s="5"/>
      <c r="K131" s="5"/>
      <c r="L131" s="5"/>
      <c r="M131" s="5"/>
      <c r="N131" s="5"/>
      <c r="O131" s="5"/>
    </row>
    <row r="132" spans="2:15" x14ac:dyDescent="0.2">
      <c r="B132" s="4"/>
      <c r="C132" s="5"/>
      <c r="D132" s="5"/>
      <c r="E132" s="5"/>
      <c r="F132" s="5"/>
      <c r="G132" s="5"/>
      <c r="H132" s="5"/>
      <c r="J132" s="5"/>
      <c r="K132" s="5"/>
      <c r="L132" s="5"/>
      <c r="M132" s="5"/>
      <c r="N132" s="5"/>
      <c r="O132" s="5"/>
    </row>
    <row r="133" spans="2:15" x14ac:dyDescent="0.2">
      <c r="B133" s="4"/>
      <c r="C133" s="5"/>
      <c r="D133" s="5"/>
      <c r="E133" s="5"/>
      <c r="F133" s="5"/>
      <c r="G133" s="5"/>
      <c r="H133" s="5"/>
      <c r="J133" s="5"/>
      <c r="K133" s="5"/>
      <c r="L133" s="5"/>
      <c r="M133" s="5"/>
      <c r="N133" s="5"/>
      <c r="O133" s="5"/>
    </row>
    <row r="134" spans="2:15" x14ac:dyDescent="0.2">
      <c r="B134" s="4"/>
      <c r="C134" s="5"/>
      <c r="D134" s="5"/>
      <c r="E134" s="5"/>
      <c r="F134" s="5"/>
      <c r="G134" s="5"/>
      <c r="H134" s="5"/>
      <c r="J134" s="5"/>
      <c r="K134" s="5"/>
      <c r="L134" s="5"/>
      <c r="M134" s="5"/>
      <c r="N134" s="5"/>
      <c r="O134" s="5"/>
    </row>
    <row r="135" spans="2:15" x14ac:dyDescent="0.2">
      <c r="B135" s="4"/>
      <c r="C135" s="5"/>
      <c r="D135" s="5"/>
      <c r="E135" s="5"/>
      <c r="F135" s="5"/>
      <c r="G135" s="5"/>
      <c r="H135" s="5"/>
      <c r="J135" s="5"/>
      <c r="K135" s="5"/>
      <c r="L135" s="5"/>
      <c r="M135" s="5"/>
      <c r="N135" s="5"/>
      <c r="O135" s="5"/>
    </row>
    <row r="136" spans="2:15" x14ac:dyDescent="0.2">
      <c r="B136" s="4"/>
      <c r="C136" s="5"/>
      <c r="D136" s="5"/>
      <c r="E136" s="5"/>
      <c r="F136" s="5"/>
      <c r="G136" s="5"/>
      <c r="H136" s="5"/>
      <c r="J136" s="5"/>
      <c r="K136" s="5"/>
      <c r="L136" s="5"/>
      <c r="M136" s="5"/>
      <c r="N136" s="5"/>
      <c r="O136" s="5"/>
    </row>
    <row r="137" spans="2:15" x14ac:dyDescent="0.2">
      <c r="B137" s="4"/>
      <c r="C137" s="5"/>
      <c r="D137" s="5"/>
      <c r="E137" s="5"/>
      <c r="F137" s="5"/>
      <c r="G137" s="5"/>
      <c r="H137" s="5"/>
      <c r="J137" s="5"/>
      <c r="K137" s="5"/>
      <c r="L137" s="5"/>
      <c r="M137" s="5"/>
      <c r="N137" s="5"/>
      <c r="O137" s="5"/>
    </row>
    <row r="138" spans="2:15" x14ac:dyDescent="0.2">
      <c r="B138" s="4"/>
      <c r="C138" s="5"/>
      <c r="D138" s="5"/>
      <c r="E138" s="5"/>
      <c r="F138" s="5"/>
      <c r="G138" s="5"/>
      <c r="H138" s="5"/>
      <c r="J138" s="5"/>
      <c r="K138" s="5"/>
      <c r="L138" s="5"/>
      <c r="M138" s="5"/>
      <c r="N138" s="5"/>
      <c r="O138" s="5"/>
    </row>
    <row r="139" spans="2:15" x14ac:dyDescent="0.2">
      <c r="B139" s="4"/>
      <c r="C139" s="5"/>
      <c r="D139" s="5"/>
      <c r="E139" s="5"/>
      <c r="F139" s="5"/>
      <c r="G139" s="5"/>
      <c r="H139" s="5"/>
      <c r="J139" s="5"/>
      <c r="K139" s="5"/>
      <c r="L139" s="5"/>
      <c r="M139" s="5"/>
      <c r="N139" s="5"/>
      <c r="O139" s="5"/>
    </row>
    <row r="140" spans="2:15" x14ac:dyDescent="0.2">
      <c r="B140" s="4"/>
      <c r="C140" s="5"/>
      <c r="D140" s="5"/>
      <c r="E140" s="5"/>
      <c r="F140" s="5"/>
      <c r="G140" s="5"/>
      <c r="H140" s="5"/>
      <c r="J140" s="5"/>
      <c r="K140" s="5"/>
      <c r="L140" s="5"/>
      <c r="M140" s="5"/>
      <c r="N140" s="5"/>
      <c r="O140" s="5"/>
    </row>
    <row r="141" spans="2:15" x14ac:dyDescent="0.2">
      <c r="B141" s="4"/>
      <c r="C141" s="5"/>
      <c r="D141" s="5"/>
      <c r="E141" s="5"/>
      <c r="F141" s="5"/>
      <c r="G141" s="5"/>
      <c r="H141" s="5"/>
      <c r="J141" s="5"/>
      <c r="K141" s="5"/>
      <c r="L141" s="5"/>
      <c r="M141" s="5"/>
      <c r="N141" s="5"/>
      <c r="O141" s="5"/>
    </row>
    <row r="142" spans="2:15" x14ac:dyDescent="0.2">
      <c r="B142" s="4"/>
      <c r="C142" s="5"/>
      <c r="D142" s="5"/>
      <c r="E142" s="5"/>
      <c r="F142" s="5"/>
      <c r="G142" s="5"/>
      <c r="H142" s="5"/>
      <c r="J142" s="5"/>
      <c r="K142" s="5"/>
      <c r="L142" s="5"/>
      <c r="M142" s="5"/>
      <c r="N142" s="5"/>
      <c r="O142" s="5"/>
    </row>
    <row r="143" spans="2:15" x14ac:dyDescent="0.2">
      <c r="B143" s="4"/>
      <c r="C143" s="5"/>
      <c r="D143" s="5"/>
      <c r="E143" s="5"/>
      <c r="F143" s="5"/>
      <c r="G143" s="5"/>
      <c r="H143" s="5"/>
      <c r="J143" s="5"/>
      <c r="K143" s="5"/>
      <c r="L143" s="5"/>
      <c r="M143" s="5"/>
      <c r="N143" s="5"/>
      <c r="O143" s="5"/>
    </row>
    <row r="144" spans="2:15" x14ac:dyDescent="0.2">
      <c r="B144" s="4"/>
      <c r="C144" s="5"/>
      <c r="D144" s="5"/>
      <c r="E144" s="5"/>
      <c r="F144" s="5"/>
      <c r="G144" s="5"/>
      <c r="H144" s="5"/>
      <c r="J144" s="5"/>
      <c r="K144" s="5"/>
      <c r="L144" s="5"/>
      <c r="M144" s="5"/>
      <c r="N144" s="5"/>
      <c r="O144" s="5"/>
    </row>
    <row r="145" spans="1:24" x14ac:dyDescent="0.2">
      <c r="B145" s="4"/>
      <c r="C145" s="5"/>
      <c r="D145" s="5"/>
      <c r="E145" s="5"/>
      <c r="F145" s="5"/>
      <c r="G145" s="5"/>
      <c r="H145" s="5"/>
      <c r="J145" s="5"/>
      <c r="K145" s="5"/>
      <c r="L145" s="5"/>
      <c r="M145" s="5"/>
      <c r="N145" s="5"/>
      <c r="O145" s="5"/>
    </row>
    <row r="146" spans="1:24" x14ac:dyDescent="0.2">
      <c r="B146" s="4"/>
      <c r="C146" s="5"/>
      <c r="D146" s="5"/>
      <c r="E146" s="5"/>
      <c r="F146" s="5"/>
      <c r="G146" s="5"/>
      <c r="H146" s="5"/>
      <c r="J146" s="5"/>
      <c r="K146" s="5"/>
      <c r="L146" s="5"/>
      <c r="M146" s="5"/>
      <c r="N146" s="5"/>
      <c r="O146" s="5"/>
    </row>
    <row r="147" spans="1:24" x14ac:dyDescent="0.2">
      <c r="B147" s="4"/>
      <c r="C147" s="5"/>
      <c r="D147" s="5"/>
      <c r="E147" s="5"/>
      <c r="F147" s="5"/>
      <c r="G147" s="5"/>
      <c r="H147" s="5"/>
      <c r="J147" s="5"/>
      <c r="K147" s="5"/>
      <c r="L147" s="5"/>
      <c r="M147" s="5"/>
      <c r="N147" s="5"/>
      <c r="O147" s="5"/>
    </row>
    <row r="148" spans="1:24" x14ac:dyDescent="0.2">
      <c r="B148" s="4"/>
      <c r="C148" s="5"/>
      <c r="D148" s="5"/>
      <c r="E148" s="5"/>
      <c r="F148" s="5"/>
      <c r="G148" s="5"/>
      <c r="H148" s="5"/>
      <c r="J148" s="5"/>
      <c r="K148" s="5"/>
      <c r="L148" s="5"/>
      <c r="M148" s="5"/>
      <c r="N148" s="5"/>
      <c r="O148" s="5"/>
    </row>
    <row r="149" spans="1:24" x14ac:dyDescent="0.2">
      <c r="B149" s="7" t="s">
        <v>240</v>
      </c>
      <c r="C149" s="5"/>
      <c r="D149" s="5"/>
      <c r="E149" s="5"/>
      <c r="F149" s="5"/>
      <c r="G149" s="5"/>
      <c r="H149" s="5"/>
      <c r="J149" s="5"/>
      <c r="K149" s="5"/>
      <c r="L149" s="5"/>
      <c r="M149" s="5"/>
      <c r="N149" s="5"/>
      <c r="O149" s="5"/>
    </row>
    <row r="150" spans="1:24" s="1" customFormat="1" x14ac:dyDescent="0.2">
      <c r="A150" s="4"/>
      <c r="B150" s="4"/>
      <c r="C150" s="5"/>
      <c r="D150" s="5"/>
      <c r="E150" s="5"/>
      <c r="F150" s="5"/>
      <c r="G150" s="5"/>
      <c r="H150" s="5"/>
      <c r="I150" s="5"/>
      <c r="J150" s="5"/>
      <c r="K150" s="5"/>
      <c r="L150" s="5"/>
      <c r="M150" s="5"/>
      <c r="N150" s="5"/>
      <c r="O150" s="5"/>
      <c r="P150" s="4"/>
      <c r="Q150" s="4"/>
      <c r="R150" s="4"/>
      <c r="S150" s="4"/>
      <c r="T150" s="4"/>
      <c r="U150" s="4"/>
      <c r="V150" s="4"/>
      <c r="W150" s="4"/>
      <c r="X150" s="4"/>
    </row>
    <row r="151" spans="1:24" x14ac:dyDescent="0.2">
      <c r="B151" s="4"/>
      <c r="C151" s="5"/>
      <c r="D151" s="5"/>
      <c r="E151" s="5"/>
      <c r="F151" s="5"/>
      <c r="G151" s="5"/>
      <c r="H151" s="5"/>
      <c r="J151" s="5"/>
      <c r="K151" s="5"/>
      <c r="L151" s="5"/>
      <c r="M151" s="5"/>
      <c r="N151" s="5"/>
      <c r="O151" s="5"/>
    </row>
    <row r="152" spans="1:24" x14ac:dyDescent="0.2">
      <c r="B152" s="4"/>
      <c r="C152" s="4" t="s">
        <v>241</v>
      </c>
      <c r="D152" s="4" t="s">
        <v>242</v>
      </c>
      <c r="E152" s="4" t="s">
        <v>243</v>
      </c>
      <c r="F152" s="4"/>
      <c r="G152" s="4"/>
      <c r="H152" s="4" t="s">
        <v>237</v>
      </c>
      <c r="I152" s="4"/>
      <c r="J152" s="4" t="s">
        <v>236</v>
      </c>
      <c r="K152" s="4"/>
      <c r="L152" s="4"/>
      <c r="M152" s="4"/>
      <c r="N152" s="4"/>
      <c r="O152" s="4"/>
    </row>
    <row r="153" spans="1:24" x14ac:dyDescent="0.2">
      <c r="B153" s="4"/>
      <c r="C153" s="15" t="s">
        <v>258</v>
      </c>
      <c r="D153" s="15" t="s">
        <v>258</v>
      </c>
      <c r="E153" s="15" t="s">
        <v>258</v>
      </c>
      <c r="F153" s="5"/>
      <c r="G153" s="5"/>
      <c r="H153" s="15" t="s">
        <v>258</v>
      </c>
      <c r="J153" s="5"/>
      <c r="K153" s="5"/>
      <c r="L153" s="5"/>
      <c r="M153" s="5"/>
      <c r="N153" s="5"/>
      <c r="O153" s="5"/>
    </row>
    <row r="154" spans="1:24" x14ac:dyDescent="0.2">
      <c r="B154" s="4"/>
      <c r="C154" s="19" t="s">
        <v>285</v>
      </c>
      <c r="D154" s="5" t="s">
        <v>287</v>
      </c>
      <c r="E154" s="5" t="s">
        <v>249</v>
      </c>
      <c r="F154" s="5"/>
      <c r="G154" s="5"/>
      <c r="H154" s="5" t="s">
        <v>254</v>
      </c>
      <c r="J154" s="5" t="s">
        <v>280</v>
      </c>
      <c r="K154" s="5"/>
      <c r="L154" s="5"/>
      <c r="M154" s="5"/>
      <c r="N154" s="5"/>
      <c r="O154" s="5"/>
    </row>
    <row r="155" spans="1:24" x14ac:dyDescent="0.2">
      <c r="B155" s="4"/>
      <c r="C155" s="5" t="s">
        <v>282</v>
      </c>
      <c r="D155" s="5" t="s">
        <v>247</v>
      </c>
      <c r="E155" s="5" t="s">
        <v>250</v>
      </c>
      <c r="F155" s="5"/>
      <c r="G155" s="5"/>
      <c r="H155" s="5" t="s">
        <v>255</v>
      </c>
      <c r="J155" s="5" t="s">
        <v>281</v>
      </c>
      <c r="K155" s="5"/>
      <c r="L155" s="5"/>
      <c r="M155" s="5"/>
      <c r="N155" s="5"/>
      <c r="O155" s="5"/>
    </row>
    <row r="156" spans="1:24" x14ac:dyDescent="0.2">
      <c r="B156" s="4"/>
      <c r="C156" s="5" t="s">
        <v>283</v>
      </c>
      <c r="D156" s="5" t="s">
        <v>248</v>
      </c>
      <c r="E156" s="5" t="s">
        <v>251</v>
      </c>
      <c r="F156" s="5"/>
      <c r="G156" s="5"/>
      <c r="H156" s="5" t="s">
        <v>256</v>
      </c>
      <c r="J156" s="5"/>
      <c r="K156" s="5"/>
      <c r="L156" s="5"/>
      <c r="M156" s="5"/>
      <c r="N156" s="5"/>
      <c r="O156" s="5"/>
    </row>
    <row r="157" spans="1:24" x14ac:dyDescent="0.2">
      <c r="B157" s="4"/>
      <c r="C157" s="5" t="s">
        <v>286</v>
      </c>
      <c r="D157" s="5" t="s">
        <v>288</v>
      </c>
      <c r="E157" s="5" t="s">
        <v>252</v>
      </c>
      <c r="F157" s="5"/>
      <c r="G157" s="5"/>
      <c r="H157" s="5" t="s">
        <v>257</v>
      </c>
      <c r="J157" s="5"/>
      <c r="K157" s="5"/>
      <c r="L157" s="5"/>
      <c r="M157" s="5"/>
      <c r="N157" s="5"/>
      <c r="O157" s="5"/>
    </row>
    <row r="158" spans="1:24" x14ac:dyDescent="0.2">
      <c r="B158" s="4"/>
      <c r="C158" s="5" t="s">
        <v>244</v>
      </c>
      <c r="D158" s="5"/>
      <c r="E158" s="5" t="s">
        <v>253</v>
      </c>
      <c r="F158" s="5"/>
      <c r="G158" s="5"/>
      <c r="H158" s="5" t="s">
        <v>253</v>
      </c>
      <c r="J158" s="5"/>
      <c r="K158" s="5"/>
      <c r="L158" s="5"/>
      <c r="M158" s="5"/>
      <c r="N158" s="5"/>
      <c r="O158" s="5"/>
    </row>
    <row r="159" spans="1:24" x14ac:dyDescent="0.2">
      <c r="B159" s="4"/>
      <c r="C159" s="5" t="s">
        <v>245</v>
      </c>
      <c r="D159" s="5"/>
      <c r="E159" s="5"/>
      <c r="F159" s="5"/>
      <c r="G159" s="5"/>
      <c r="H159" s="5"/>
      <c r="J159" s="5"/>
      <c r="K159" s="5"/>
      <c r="L159" s="5"/>
      <c r="M159" s="5"/>
      <c r="N159" s="5"/>
      <c r="O159" s="5"/>
    </row>
    <row r="160" spans="1:24" x14ac:dyDescent="0.2">
      <c r="B160" s="4"/>
      <c r="C160" s="5" t="s">
        <v>284</v>
      </c>
      <c r="D160" s="5"/>
      <c r="E160" s="5"/>
      <c r="F160" s="5"/>
      <c r="G160" s="5"/>
      <c r="H160" s="5"/>
      <c r="J160" s="5"/>
      <c r="K160" s="5"/>
      <c r="L160" s="5"/>
      <c r="M160" s="5"/>
      <c r="N160" s="5"/>
      <c r="O160" s="5"/>
    </row>
    <row r="161" spans="2:15" x14ac:dyDescent="0.2">
      <c r="B161" s="4"/>
      <c r="C161" s="5" t="s">
        <v>246</v>
      </c>
      <c r="D161" s="5"/>
      <c r="E161" s="5"/>
      <c r="F161" s="5"/>
      <c r="G161" s="5"/>
      <c r="H161" s="5"/>
      <c r="J161" s="5"/>
      <c r="K161" s="5"/>
      <c r="L161" s="5"/>
      <c r="M161" s="5"/>
      <c r="N161" s="5"/>
      <c r="O161" s="5"/>
    </row>
    <row r="162" spans="2:15" x14ac:dyDescent="0.2">
      <c r="B162" s="4"/>
      <c r="C162" s="5" t="s">
        <v>357</v>
      </c>
      <c r="D162" s="5"/>
      <c r="E162" s="5"/>
      <c r="F162" s="5"/>
      <c r="G162" s="5"/>
      <c r="H162" s="5"/>
      <c r="J162" s="5"/>
      <c r="K162" s="5"/>
      <c r="L162" s="5"/>
      <c r="M162" s="5"/>
      <c r="N162" s="5"/>
      <c r="O162" s="5"/>
    </row>
    <row r="163" spans="2:15" x14ac:dyDescent="0.2">
      <c r="B163" s="4"/>
    </row>
    <row r="164" spans="2:15" x14ac:dyDescent="0.2">
      <c r="B164" s="4"/>
    </row>
    <row r="165" spans="2:15" x14ac:dyDescent="0.2">
      <c r="B165" s="4"/>
    </row>
    <row r="166" spans="2:15" x14ac:dyDescent="0.2">
      <c r="B166" s="4"/>
    </row>
    <row r="167" spans="2:15" x14ac:dyDescent="0.2">
      <c r="B167" s="4"/>
    </row>
    <row r="168" spans="2:15" x14ac:dyDescent="0.2">
      <c r="B168" s="4"/>
    </row>
    <row r="169" spans="2:15" x14ac:dyDescent="0.2">
      <c r="B169" s="4"/>
    </row>
    <row r="170" spans="2:15" x14ac:dyDescent="0.2">
      <c r="B170" s="4"/>
    </row>
    <row r="171" spans="2:15" x14ac:dyDescent="0.2">
      <c r="B171" s="4"/>
    </row>
    <row r="172" spans="2:15" x14ac:dyDescent="0.2">
      <c r="B172" s="4"/>
    </row>
    <row r="173" spans="2:15" x14ac:dyDescent="0.2">
      <c r="B173" s="4"/>
    </row>
    <row r="174" spans="2:15" x14ac:dyDescent="0.2">
      <c r="B174" s="4"/>
    </row>
    <row r="175" spans="2:15" x14ac:dyDescent="0.2">
      <c r="B175" s="4"/>
    </row>
    <row r="176" spans="2:15" x14ac:dyDescent="0.2">
      <c r="B176" s="4"/>
    </row>
    <row r="177" spans="2:2" x14ac:dyDescent="0.2">
      <c r="B177" s="4"/>
    </row>
    <row r="178" spans="2:2" x14ac:dyDescent="0.2">
      <c r="B178" s="4"/>
    </row>
    <row r="179" spans="2:2" x14ac:dyDescent="0.2">
      <c r="B179" s="4"/>
    </row>
    <row r="180" spans="2:2" x14ac:dyDescent="0.2">
      <c r="B180" s="4"/>
    </row>
    <row r="181" spans="2:2" x14ac:dyDescent="0.2">
      <c r="B181" s="4"/>
    </row>
    <row r="182" spans="2:2" x14ac:dyDescent="0.2">
      <c r="B182" s="4"/>
    </row>
    <row r="183" spans="2:2" x14ac:dyDescent="0.2">
      <c r="B183" s="4"/>
    </row>
    <row r="184" spans="2:2" x14ac:dyDescent="0.2">
      <c r="B184" s="4"/>
    </row>
    <row r="185" spans="2:2" x14ac:dyDescent="0.2">
      <c r="B185" s="4"/>
    </row>
    <row r="186" spans="2:2" x14ac:dyDescent="0.2">
      <c r="B186" s="4"/>
    </row>
    <row r="187" spans="2:2" x14ac:dyDescent="0.2">
      <c r="B187" s="4"/>
    </row>
    <row r="188" spans="2:2" x14ac:dyDescent="0.2">
      <c r="B188" s="4"/>
    </row>
    <row r="189" spans="2:2" x14ac:dyDescent="0.2">
      <c r="B189" s="4"/>
    </row>
    <row r="190" spans="2:2" x14ac:dyDescent="0.2">
      <c r="B190" s="4"/>
    </row>
    <row r="191" spans="2:2" x14ac:dyDescent="0.2">
      <c r="B191" s="4"/>
    </row>
    <row r="192" spans="2:2" x14ac:dyDescent="0.2">
      <c r="B192" s="4"/>
    </row>
    <row r="193" spans="2:2" x14ac:dyDescent="0.2">
      <c r="B193" s="4"/>
    </row>
    <row r="194" spans="2:2" x14ac:dyDescent="0.2">
      <c r="B194" s="4"/>
    </row>
    <row r="195" spans="2:2" x14ac:dyDescent="0.2">
      <c r="B195" s="4"/>
    </row>
    <row r="196" spans="2:2" x14ac:dyDescent="0.2">
      <c r="B196" s="4"/>
    </row>
    <row r="197" spans="2:2" x14ac:dyDescent="0.2">
      <c r="B197" s="4"/>
    </row>
    <row r="198" spans="2:2" x14ac:dyDescent="0.2">
      <c r="B198" s="4"/>
    </row>
    <row r="199" spans="2:2" x14ac:dyDescent="0.2">
      <c r="B199" s="4"/>
    </row>
    <row r="200" spans="2:2" x14ac:dyDescent="0.2">
      <c r="B200" s="4"/>
    </row>
    <row r="201" spans="2:2" x14ac:dyDescent="0.2">
      <c r="B201" s="4"/>
    </row>
    <row r="202" spans="2:2" x14ac:dyDescent="0.2">
      <c r="B202" s="4"/>
    </row>
    <row r="203" spans="2:2" x14ac:dyDescent="0.2">
      <c r="B203" s="4"/>
    </row>
    <row r="204" spans="2:2" x14ac:dyDescent="0.2">
      <c r="B204" s="4"/>
    </row>
    <row r="205" spans="2:2" x14ac:dyDescent="0.2">
      <c r="B205" s="4"/>
    </row>
    <row r="206" spans="2:2" x14ac:dyDescent="0.2">
      <c r="B206" s="4"/>
    </row>
    <row r="207" spans="2:2" x14ac:dyDescent="0.2">
      <c r="B207" s="4"/>
    </row>
    <row r="208" spans="2:2" x14ac:dyDescent="0.2">
      <c r="B208" s="4"/>
    </row>
    <row r="209" spans="2:2" x14ac:dyDescent="0.2">
      <c r="B209" s="4"/>
    </row>
    <row r="210" spans="2:2" x14ac:dyDescent="0.2">
      <c r="B210" s="4"/>
    </row>
    <row r="211" spans="2:2" x14ac:dyDescent="0.2">
      <c r="B211" s="4"/>
    </row>
    <row r="212" spans="2:2" x14ac:dyDescent="0.2">
      <c r="B212" s="4"/>
    </row>
    <row r="213" spans="2:2" x14ac:dyDescent="0.2">
      <c r="B213" s="4"/>
    </row>
    <row r="214" spans="2:2" x14ac:dyDescent="0.2">
      <c r="B214" s="4"/>
    </row>
    <row r="215" spans="2:2" x14ac:dyDescent="0.2">
      <c r="B215" s="4"/>
    </row>
    <row r="216" spans="2:2" x14ac:dyDescent="0.2">
      <c r="B216" s="4"/>
    </row>
    <row r="217" spans="2:2" x14ac:dyDescent="0.2">
      <c r="B217" s="4"/>
    </row>
    <row r="218" spans="2:2" x14ac:dyDescent="0.2">
      <c r="B218" s="4"/>
    </row>
    <row r="219" spans="2:2" x14ac:dyDescent="0.2">
      <c r="B219" s="4"/>
    </row>
    <row r="220" spans="2:2" x14ac:dyDescent="0.2">
      <c r="B220" s="4"/>
    </row>
    <row r="221" spans="2:2" x14ac:dyDescent="0.2">
      <c r="B221" s="4"/>
    </row>
    <row r="222" spans="2:2" x14ac:dyDescent="0.2">
      <c r="B222" s="4"/>
    </row>
    <row r="223" spans="2:2" x14ac:dyDescent="0.2">
      <c r="B223" s="4"/>
    </row>
    <row r="224" spans="2:2" x14ac:dyDescent="0.2">
      <c r="B224" s="4"/>
    </row>
    <row r="225" spans="2:2" x14ac:dyDescent="0.2">
      <c r="B225" s="4"/>
    </row>
    <row r="226" spans="2:2" x14ac:dyDescent="0.2">
      <c r="B226" s="4"/>
    </row>
    <row r="227" spans="2:2" x14ac:dyDescent="0.2">
      <c r="B227" s="4"/>
    </row>
    <row r="228" spans="2:2" x14ac:dyDescent="0.2">
      <c r="B228" s="4"/>
    </row>
    <row r="229" spans="2:2" x14ac:dyDescent="0.2">
      <c r="B229" s="4"/>
    </row>
    <row r="230" spans="2:2" x14ac:dyDescent="0.2">
      <c r="B230" s="4"/>
    </row>
    <row r="231" spans="2:2" x14ac:dyDescent="0.2">
      <c r="B231" s="4"/>
    </row>
    <row r="232" spans="2:2" x14ac:dyDescent="0.2">
      <c r="B232" s="4"/>
    </row>
    <row r="233" spans="2:2" x14ac:dyDescent="0.2">
      <c r="B233" s="4"/>
    </row>
    <row r="234" spans="2:2" x14ac:dyDescent="0.2">
      <c r="B234" s="4"/>
    </row>
    <row r="235" spans="2:2" x14ac:dyDescent="0.2">
      <c r="B235" s="4"/>
    </row>
    <row r="236" spans="2:2" x14ac:dyDescent="0.2">
      <c r="B236" s="4"/>
    </row>
    <row r="237" spans="2:2" x14ac:dyDescent="0.2">
      <c r="B237" s="4"/>
    </row>
    <row r="238" spans="2:2" x14ac:dyDescent="0.2">
      <c r="B238" s="4"/>
    </row>
    <row r="239" spans="2:2" x14ac:dyDescent="0.2">
      <c r="B239" s="4"/>
    </row>
    <row r="240" spans="2:2" x14ac:dyDescent="0.2">
      <c r="B240" s="4"/>
    </row>
    <row r="241" spans="2:2" x14ac:dyDescent="0.2">
      <c r="B241" s="4"/>
    </row>
    <row r="242" spans="2:2" x14ac:dyDescent="0.2">
      <c r="B242" s="4"/>
    </row>
    <row r="243" spans="2:2" x14ac:dyDescent="0.2">
      <c r="B243" s="4"/>
    </row>
    <row r="244" spans="2:2" x14ac:dyDescent="0.2">
      <c r="B244" s="4"/>
    </row>
    <row r="245" spans="2:2" x14ac:dyDescent="0.2">
      <c r="B245" s="4"/>
    </row>
    <row r="246" spans="2:2" x14ac:dyDescent="0.2">
      <c r="B246" s="4"/>
    </row>
    <row r="247" spans="2:2" x14ac:dyDescent="0.2">
      <c r="B247" s="4"/>
    </row>
    <row r="248" spans="2:2" x14ac:dyDescent="0.2">
      <c r="B248" s="4"/>
    </row>
    <row r="249" spans="2:2" x14ac:dyDescent="0.2">
      <c r="B249" s="4"/>
    </row>
    <row r="250" spans="2:2" x14ac:dyDescent="0.2">
      <c r="B250" s="4"/>
    </row>
    <row r="251" spans="2:2" x14ac:dyDescent="0.2">
      <c r="B251" s="4"/>
    </row>
    <row r="252" spans="2:2" x14ac:dyDescent="0.2">
      <c r="B252" s="4"/>
    </row>
    <row r="253" spans="2:2" x14ac:dyDescent="0.2">
      <c r="B253" s="4"/>
    </row>
    <row r="254" spans="2:2" x14ac:dyDescent="0.2">
      <c r="B254" s="4"/>
    </row>
    <row r="255" spans="2:2" x14ac:dyDescent="0.2">
      <c r="B255" s="4"/>
    </row>
    <row r="256" spans="2:2" x14ac:dyDescent="0.2">
      <c r="B256" s="4"/>
    </row>
    <row r="257" spans="2:2" x14ac:dyDescent="0.2">
      <c r="B257" s="4"/>
    </row>
    <row r="258" spans="2:2" x14ac:dyDescent="0.2">
      <c r="B258" s="4"/>
    </row>
    <row r="259" spans="2:2" x14ac:dyDescent="0.2">
      <c r="B259" s="4"/>
    </row>
    <row r="260" spans="2:2" x14ac:dyDescent="0.2">
      <c r="B260" s="4"/>
    </row>
    <row r="261" spans="2:2" x14ac:dyDescent="0.2">
      <c r="B261" s="4"/>
    </row>
    <row r="262" spans="2:2" x14ac:dyDescent="0.2">
      <c r="B262" s="4"/>
    </row>
    <row r="263" spans="2:2" x14ac:dyDescent="0.2">
      <c r="B263" s="4"/>
    </row>
    <row r="264" spans="2:2" x14ac:dyDescent="0.2">
      <c r="B264" s="4"/>
    </row>
    <row r="265" spans="2:2" x14ac:dyDescent="0.2">
      <c r="B265" s="4"/>
    </row>
    <row r="266" spans="2:2" x14ac:dyDescent="0.2">
      <c r="B266" s="4"/>
    </row>
    <row r="267" spans="2:2" x14ac:dyDescent="0.2">
      <c r="B267" s="4"/>
    </row>
    <row r="268" spans="2:2" x14ac:dyDescent="0.2">
      <c r="B268" s="4"/>
    </row>
    <row r="269" spans="2:2" x14ac:dyDescent="0.2">
      <c r="B269" s="4"/>
    </row>
    <row r="270" spans="2:2" x14ac:dyDescent="0.2">
      <c r="B270" s="4"/>
    </row>
    <row r="271" spans="2:2" x14ac:dyDescent="0.2">
      <c r="B271" s="4"/>
    </row>
    <row r="272" spans="2:2" x14ac:dyDescent="0.2">
      <c r="B272" s="4"/>
    </row>
    <row r="273" spans="2:2" x14ac:dyDescent="0.2">
      <c r="B273" s="4"/>
    </row>
    <row r="274" spans="2:2" x14ac:dyDescent="0.2">
      <c r="B274" s="4"/>
    </row>
    <row r="275" spans="2:2" x14ac:dyDescent="0.2">
      <c r="B275" s="4"/>
    </row>
    <row r="276" spans="2:2" x14ac:dyDescent="0.2">
      <c r="B276" s="4"/>
    </row>
    <row r="277" spans="2:2" x14ac:dyDescent="0.2">
      <c r="B277" s="4"/>
    </row>
    <row r="278" spans="2:2" x14ac:dyDescent="0.2">
      <c r="B278" s="4"/>
    </row>
    <row r="279" spans="2:2" x14ac:dyDescent="0.2">
      <c r="B279" s="4"/>
    </row>
    <row r="280" spans="2:2" x14ac:dyDescent="0.2">
      <c r="B280" s="4"/>
    </row>
    <row r="281" spans="2:2" x14ac:dyDescent="0.2">
      <c r="B281" s="4"/>
    </row>
    <row r="282" spans="2:2" x14ac:dyDescent="0.2">
      <c r="B282" s="4"/>
    </row>
    <row r="283" spans="2:2" x14ac:dyDescent="0.2">
      <c r="B283" s="4"/>
    </row>
    <row r="284" spans="2:2" x14ac:dyDescent="0.2">
      <c r="B284" s="4"/>
    </row>
    <row r="285" spans="2:2" x14ac:dyDescent="0.2">
      <c r="B285" s="4"/>
    </row>
    <row r="286" spans="2:2" x14ac:dyDescent="0.2">
      <c r="B286" s="4"/>
    </row>
    <row r="287" spans="2:2" x14ac:dyDescent="0.2">
      <c r="B287" s="4"/>
    </row>
    <row r="288" spans="2:2" x14ac:dyDescent="0.2">
      <c r="B288" s="4"/>
    </row>
    <row r="289" spans="2:2" x14ac:dyDescent="0.2">
      <c r="B289" s="4"/>
    </row>
    <row r="290" spans="2:2" x14ac:dyDescent="0.2">
      <c r="B290" s="4"/>
    </row>
    <row r="291" spans="2:2" x14ac:dyDescent="0.2">
      <c r="B291" s="4"/>
    </row>
    <row r="292" spans="2:2" x14ac:dyDescent="0.2">
      <c r="B292" s="4"/>
    </row>
    <row r="293" spans="2:2" x14ac:dyDescent="0.2">
      <c r="B293" s="4"/>
    </row>
    <row r="294" spans="2:2" x14ac:dyDescent="0.2">
      <c r="B294" s="4"/>
    </row>
    <row r="295" spans="2:2" x14ac:dyDescent="0.2">
      <c r="B295" s="4"/>
    </row>
    <row r="296" spans="2:2" x14ac:dyDescent="0.2">
      <c r="B296" s="4"/>
    </row>
    <row r="297" spans="2:2" x14ac:dyDescent="0.2">
      <c r="B297" s="4"/>
    </row>
    <row r="298" spans="2:2" x14ac:dyDescent="0.2">
      <c r="B298" s="4"/>
    </row>
    <row r="299" spans="2:2" x14ac:dyDescent="0.2">
      <c r="B299" s="4"/>
    </row>
    <row r="300" spans="2:2" x14ac:dyDescent="0.2">
      <c r="B300" s="4"/>
    </row>
    <row r="301" spans="2:2" x14ac:dyDescent="0.2">
      <c r="B301" s="4"/>
    </row>
    <row r="302" spans="2:2" x14ac:dyDescent="0.2">
      <c r="B302" s="4"/>
    </row>
    <row r="303" spans="2:2" x14ac:dyDescent="0.2">
      <c r="B303" s="4"/>
    </row>
    <row r="304" spans="2:2" x14ac:dyDescent="0.2">
      <c r="B304" s="4"/>
    </row>
    <row r="305" spans="2:2" x14ac:dyDescent="0.2">
      <c r="B305" s="4"/>
    </row>
    <row r="306" spans="2:2" x14ac:dyDescent="0.2">
      <c r="B306" s="4"/>
    </row>
    <row r="307" spans="2:2" x14ac:dyDescent="0.2">
      <c r="B307" s="4"/>
    </row>
    <row r="308" spans="2:2" x14ac:dyDescent="0.2">
      <c r="B308" s="4"/>
    </row>
    <row r="309" spans="2:2" x14ac:dyDescent="0.2">
      <c r="B309" s="4"/>
    </row>
    <row r="310" spans="2:2" x14ac:dyDescent="0.2">
      <c r="B310" s="4"/>
    </row>
    <row r="311" spans="2:2" x14ac:dyDescent="0.2">
      <c r="B311" s="4"/>
    </row>
    <row r="312" spans="2:2" x14ac:dyDescent="0.2">
      <c r="B312" s="4"/>
    </row>
    <row r="313" spans="2:2" x14ac:dyDescent="0.2">
      <c r="B313" s="4"/>
    </row>
    <row r="314" spans="2:2" x14ac:dyDescent="0.2">
      <c r="B314" s="4"/>
    </row>
    <row r="315" spans="2:2" x14ac:dyDescent="0.2">
      <c r="B315" s="4"/>
    </row>
    <row r="316" spans="2:2" x14ac:dyDescent="0.2">
      <c r="B316" s="4"/>
    </row>
    <row r="317" spans="2:2" x14ac:dyDescent="0.2">
      <c r="B317" s="4"/>
    </row>
    <row r="318" spans="2:2" x14ac:dyDescent="0.2">
      <c r="B318" s="4"/>
    </row>
    <row r="319" spans="2:2" x14ac:dyDescent="0.2">
      <c r="B319" s="4"/>
    </row>
    <row r="320" spans="2:2" x14ac:dyDescent="0.2">
      <c r="B320" s="4"/>
    </row>
    <row r="321" spans="2:2" x14ac:dyDescent="0.2">
      <c r="B321" s="4"/>
    </row>
    <row r="322" spans="2:2" x14ac:dyDescent="0.2">
      <c r="B322" s="4"/>
    </row>
    <row r="323" spans="2:2" x14ac:dyDescent="0.2">
      <c r="B323" s="4"/>
    </row>
    <row r="324" spans="2:2" x14ac:dyDescent="0.2">
      <c r="B324" s="4"/>
    </row>
    <row r="325" spans="2:2" x14ac:dyDescent="0.2">
      <c r="B325" s="4"/>
    </row>
    <row r="326" spans="2:2" x14ac:dyDescent="0.2">
      <c r="B326" s="4"/>
    </row>
    <row r="327" spans="2:2" x14ac:dyDescent="0.2">
      <c r="B327" s="4"/>
    </row>
    <row r="328" spans="2:2" x14ac:dyDescent="0.2">
      <c r="B328" s="4"/>
    </row>
    <row r="329" spans="2:2" x14ac:dyDescent="0.2">
      <c r="B329" s="4"/>
    </row>
    <row r="330" spans="2:2" x14ac:dyDescent="0.2">
      <c r="B330" s="4"/>
    </row>
    <row r="331" spans="2:2" x14ac:dyDescent="0.2">
      <c r="B331" s="4"/>
    </row>
    <row r="332" spans="2:2" x14ac:dyDescent="0.2">
      <c r="B332" s="4"/>
    </row>
    <row r="333" spans="2:2" x14ac:dyDescent="0.2">
      <c r="B333" s="4"/>
    </row>
    <row r="334" spans="2:2" x14ac:dyDescent="0.2">
      <c r="B334" s="4"/>
    </row>
    <row r="335" spans="2:2" x14ac:dyDescent="0.2">
      <c r="B335" s="4"/>
    </row>
    <row r="336" spans="2:2" x14ac:dyDescent="0.2">
      <c r="B336" s="4"/>
    </row>
    <row r="337" spans="2:2" x14ac:dyDescent="0.2">
      <c r="B337" s="4"/>
    </row>
    <row r="338" spans="2:2" x14ac:dyDescent="0.2">
      <c r="B338" s="4"/>
    </row>
    <row r="339" spans="2:2" x14ac:dyDescent="0.2">
      <c r="B339" s="4"/>
    </row>
    <row r="340" spans="2:2" x14ac:dyDescent="0.2">
      <c r="B340" s="4"/>
    </row>
    <row r="341" spans="2:2" x14ac:dyDescent="0.2">
      <c r="B341" s="4"/>
    </row>
    <row r="342" spans="2:2" x14ac:dyDescent="0.2">
      <c r="B342" s="4"/>
    </row>
    <row r="343" spans="2:2" x14ac:dyDescent="0.2">
      <c r="B343" s="4"/>
    </row>
    <row r="344" spans="2:2" x14ac:dyDescent="0.2">
      <c r="B344" s="4"/>
    </row>
    <row r="345" spans="2:2" x14ac:dyDescent="0.2">
      <c r="B345" s="4"/>
    </row>
    <row r="346" spans="2:2" x14ac:dyDescent="0.2">
      <c r="B346" s="4"/>
    </row>
    <row r="347" spans="2:2" x14ac:dyDescent="0.2">
      <c r="B347" s="4"/>
    </row>
    <row r="348" spans="2:2" x14ac:dyDescent="0.2">
      <c r="B348" s="4"/>
    </row>
    <row r="349" spans="2:2" x14ac:dyDescent="0.2">
      <c r="B349" s="4"/>
    </row>
    <row r="350" spans="2:2" x14ac:dyDescent="0.2">
      <c r="B350" s="4"/>
    </row>
    <row r="351" spans="2:2" x14ac:dyDescent="0.2">
      <c r="B351" s="4"/>
    </row>
    <row r="352" spans="2:2" x14ac:dyDescent="0.2">
      <c r="B352" s="4"/>
    </row>
    <row r="353" spans="2:2" x14ac:dyDescent="0.2">
      <c r="B353" s="4"/>
    </row>
    <row r="354" spans="2:2" x14ac:dyDescent="0.2">
      <c r="B354" s="4"/>
    </row>
    <row r="355" spans="2:2" x14ac:dyDescent="0.2">
      <c r="B355" s="4"/>
    </row>
    <row r="356" spans="2:2" x14ac:dyDescent="0.2">
      <c r="B356" s="4"/>
    </row>
    <row r="357" spans="2:2" x14ac:dyDescent="0.2">
      <c r="B357" s="4"/>
    </row>
    <row r="358" spans="2:2" x14ac:dyDescent="0.2">
      <c r="B358" s="4"/>
    </row>
    <row r="359" spans="2:2" x14ac:dyDescent="0.2">
      <c r="B359" s="4"/>
    </row>
    <row r="360" spans="2:2" x14ac:dyDescent="0.2">
      <c r="B360" s="4"/>
    </row>
    <row r="361" spans="2:2" x14ac:dyDescent="0.2">
      <c r="B361" s="4"/>
    </row>
    <row r="362" spans="2:2" x14ac:dyDescent="0.2">
      <c r="B362" s="4"/>
    </row>
    <row r="363" spans="2:2" x14ac:dyDescent="0.2">
      <c r="B363" s="4"/>
    </row>
    <row r="364" spans="2:2" x14ac:dyDescent="0.2">
      <c r="B364" s="4"/>
    </row>
    <row r="365" spans="2:2" x14ac:dyDescent="0.2">
      <c r="B365" s="4"/>
    </row>
    <row r="366" spans="2:2" x14ac:dyDescent="0.2">
      <c r="B366" s="4"/>
    </row>
    <row r="367" spans="2:2" x14ac:dyDescent="0.2">
      <c r="B367" s="4"/>
    </row>
    <row r="368" spans="2:2" x14ac:dyDescent="0.2">
      <c r="B368" s="4"/>
    </row>
    <row r="369" spans="2:2" x14ac:dyDescent="0.2">
      <c r="B369" s="4"/>
    </row>
    <row r="370" spans="2:2" x14ac:dyDescent="0.2">
      <c r="B370" s="4"/>
    </row>
    <row r="371" spans="2:2" x14ac:dyDescent="0.2">
      <c r="B371" s="4"/>
    </row>
    <row r="372" spans="2:2" x14ac:dyDescent="0.2">
      <c r="B372" s="4"/>
    </row>
    <row r="373" spans="2:2" x14ac:dyDescent="0.2">
      <c r="B373" s="4"/>
    </row>
    <row r="374" spans="2:2" x14ac:dyDescent="0.2">
      <c r="B374" s="4"/>
    </row>
    <row r="375" spans="2:2" x14ac:dyDescent="0.2">
      <c r="B375" s="4"/>
    </row>
    <row r="376" spans="2:2" x14ac:dyDescent="0.2">
      <c r="B376" s="4"/>
    </row>
    <row r="377" spans="2:2" x14ac:dyDescent="0.2">
      <c r="B377" s="4"/>
    </row>
    <row r="378" spans="2:2" x14ac:dyDescent="0.2">
      <c r="B378" s="4"/>
    </row>
    <row r="379" spans="2:2" x14ac:dyDescent="0.2">
      <c r="B379" s="4"/>
    </row>
    <row r="380" spans="2:2" x14ac:dyDescent="0.2">
      <c r="B380" s="4"/>
    </row>
    <row r="381" spans="2:2" x14ac:dyDescent="0.2">
      <c r="B381" s="4"/>
    </row>
    <row r="382" spans="2:2" x14ac:dyDescent="0.2">
      <c r="B382" s="4"/>
    </row>
    <row r="383" spans="2:2" x14ac:dyDescent="0.2">
      <c r="B383" s="4"/>
    </row>
    <row r="384" spans="2:2" x14ac:dyDescent="0.2">
      <c r="B384" s="4"/>
    </row>
    <row r="385" spans="2:2" x14ac:dyDescent="0.2">
      <c r="B385" s="4"/>
    </row>
    <row r="386" spans="2:2" x14ac:dyDescent="0.2">
      <c r="B386" s="4"/>
    </row>
    <row r="387" spans="2:2" x14ac:dyDescent="0.2">
      <c r="B387" s="4"/>
    </row>
    <row r="388" spans="2:2" x14ac:dyDescent="0.2">
      <c r="B388" s="4"/>
    </row>
    <row r="389" spans="2:2" x14ac:dyDescent="0.2">
      <c r="B389" s="4"/>
    </row>
    <row r="390" spans="2:2" x14ac:dyDescent="0.2">
      <c r="B390" s="4"/>
    </row>
    <row r="391" spans="2:2" x14ac:dyDescent="0.2">
      <c r="B391" s="4"/>
    </row>
    <row r="392" spans="2:2" x14ac:dyDescent="0.2">
      <c r="B392" s="4"/>
    </row>
    <row r="393" spans="2:2" x14ac:dyDescent="0.2">
      <c r="B393" s="4"/>
    </row>
    <row r="394" spans="2:2" x14ac:dyDescent="0.2">
      <c r="B394" s="4"/>
    </row>
    <row r="395" spans="2:2" x14ac:dyDescent="0.2">
      <c r="B395" s="4"/>
    </row>
    <row r="396" spans="2:2" x14ac:dyDescent="0.2">
      <c r="B396" s="4"/>
    </row>
    <row r="397" spans="2:2" x14ac:dyDescent="0.2">
      <c r="B397" s="4"/>
    </row>
    <row r="398" spans="2:2" x14ac:dyDescent="0.2">
      <c r="B398" s="4"/>
    </row>
    <row r="399" spans="2:2" x14ac:dyDescent="0.2">
      <c r="B399" s="4"/>
    </row>
  </sheetData>
  <sheetProtection formatCells="0" formatRows="0" insertRows="0" insertHyperlinks="0" deleteRows="0" selectLockedCells="1"/>
  <customSheetViews>
    <customSheetView guid="{A8892CA7-9094-4C03-B23A-DC3610B7C783}" showGridLines="0" fitToPage="1">
      <pageMargins left="0.25" right="0.25" top="0.5" bottom="0.5" header="0.3" footer="0.3"/>
      <pageSetup paperSize="17" scale="86" fitToHeight="100" orientation="landscape" r:id="rId1"/>
      <headerFooter alignWithMargins="0">
        <oddFooter>Page &amp;P&amp;R&amp;F</oddFooter>
      </headerFooter>
    </customSheetView>
  </customSheetViews>
  <mergeCells count="93">
    <mergeCell ref="B16:C16"/>
    <mergeCell ref="D16:E16"/>
    <mergeCell ref="B17:C17"/>
    <mergeCell ref="D17:E17"/>
    <mergeCell ref="J26:Q26"/>
    <mergeCell ref="J27:Q27"/>
    <mergeCell ref="B20:Q20"/>
    <mergeCell ref="J22:Q22"/>
    <mergeCell ref="J23:Q23"/>
    <mergeCell ref="J24:Q24"/>
    <mergeCell ref="J30:Q30"/>
    <mergeCell ref="J31:Q31"/>
    <mergeCell ref="J32:Q32"/>
    <mergeCell ref="J25:Q25"/>
    <mergeCell ref="J28:Q28"/>
    <mergeCell ref="J29:Q29"/>
    <mergeCell ref="J33:Q33"/>
    <mergeCell ref="J34:Q34"/>
    <mergeCell ref="J37:Q37"/>
    <mergeCell ref="J39:Q39"/>
    <mergeCell ref="J42:Q42"/>
    <mergeCell ref="J38:Q38"/>
    <mergeCell ref="J35:Q35"/>
    <mergeCell ref="J36:Q36"/>
    <mergeCell ref="J40:Q40"/>
    <mergeCell ref="J41:Q41"/>
    <mergeCell ref="J43:Q43"/>
    <mergeCell ref="J44:Q44"/>
    <mergeCell ref="J45:Q45"/>
    <mergeCell ref="J46:Q46"/>
    <mergeCell ref="J47:Q47"/>
    <mergeCell ref="J48:Q48"/>
    <mergeCell ref="J49:Q49"/>
    <mergeCell ref="J50:Q50"/>
    <mergeCell ref="J51:Q51"/>
    <mergeCell ref="J52:Q52"/>
    <mergeCell ref="J53:Q53"/>
    <mergeCell ref="J54:Q54"/>
    <mergeCell ref="J55:Q55"/>
    <mergeCell ref="J56:Q56"/>
    <mergeCell ref="J57:Q57"/>
    <mergeCell ref="J58:Q58"/>
    <mergeCell ref="J59:Q59"/>
    <mergeCell ref="J60:Q60"/>
    <mergeCell ref="J61:Q61"/>
    <mergeCell ref="J62:Q62"/>
    <mergeCell ref="J64:Q64"/>
    <mergeCell ref="B66:Q66"/>
    <mergeCell ref="O68:Q68"/>
    <mergeCell ref="O69:Q69"/>
    <mergeCell ref="J63:Q63"/>
    <mergeCell ref="O70:Q70"/>
    <mergeCell ref="O71:Q71"/>
    <mergeCell ref="O73:Q73"/>
    <mergeCell ref="O74:Q74"/>
    <mergeCell ref="O75:Q75"/>
    <mergeCell ref="O76:Q76"/>
    <mergeCell ref="O72:Q72"/>
    <mergeCell ref="O77:Q77"/>
    <mergeCell ref="O78:Q78"/>
    <mergeCell ref="O79:Q79"/>
    <mergeCell ref="O80:Q80"/>
    <mergeCell ref="O84:Q84"/>
    <mergeCell ref="O85:Q85"/>
    <mergeCell ref="B82:Q82"/>
    <mergeCell ref="O86:Q86"/>
    <mergeCell ref="O87:Q87"/>
    <mergeCell ref="O90:Q90"/>
    <mergeCell ref="O92:Q92"/>
    <mergeCell ref="O93:Q93"/>
    <mergeCell ref="O94:Q94"/>
    <mergeCell ref="O91:Q91"/>
    <mergeCell ref="O88:Q88"/>
    <mergeCell ref="O89:Q89"/>
    <mergeCell ref="O95:Q95"/>
    <mergeCell ref="C97:Q97"/>
    <mergeCell ref="D10:E10"/>
    <mergeCell ref="D13:E13"/>
    <mergeCell ref="B10:C10"/>
    <mergeCell ref="B13:C13"/>
    <mergeCell ref="D11:E11"/>
    <mergeCell ref="B12:C12"/>
    <mergeCell ref="B15:C15"/>
    <mergeCell ref="D15:E15"/>
    <mergeCell ref="B1:P1"/>
    <mergeCell ref="B2:P2"/>
    <mergeCell ref="G5:J5"/>
    <mergeCell ref="D6:M6"/>
    <mergeCell ref="B14:C14"/>
    <mergeCell ref="D14:E14"/>
    <mergeCell ref="B11:C11"/>
    <mergeCell ref="D12:E12"/>
    <mergeCell ref="B8:Q8"/>
  </mergeCells>
  <phoneticPr fontId="45" type="noConversion"/>
  <conditionalFormatting sqref="G92:G94 G69:I79 G85:I85 G86 I86 I92:I94 H86:H95">
    <cfRule type="cellIs" dxfId="11" priority="30" stopIfTrue="1" operator="equal">
      <formula>0</formula>
    </cfRule>
  </conditionalFormatting>
  <conditionalFormatting sqref="G85:G86 G92:G95 G69:G79">
    <cfRule type="cellIs" dxfId="10" priority="29" stopIfTrue="1" operator="equal">
      <formula>1</formula>
    </cfRule>
  </conditionalFormatting>
  <conditionalFormatting sqref="G87 G90 I87">
    <cfRule type="cellIs" dxfId="9" priority="11" stopIfTrue="1" operator="equal">
      <formula>0</formula>
    </cfRule>
  </conditionalFormatting>
  <conditionalFormatting sqref="G87 G90">
    <cfRule type="cellIs" dxfId="8" priority="10" stopIfTrue="1" operator="equal">
      <formula>1</formula>
    </cfRule>
  </conditionalFormatting>
  <conditionalFormatting sqref="I90">
    <cfRule type="cellIs" dxfId="7" priority="9" stopIfTrue="1" operator="equal">
      <formula>0</formula>
    </cfRule>
  </conditionalFormatting>
  <conditionalFormatting sqref="G91">
    <cfRule type="cellIs" dxfId="6" priority="7" stopIfTrue="1" operator="equal">
      <formula>0</formula>
    </cfRule>
  </conditionalFormatting>
  <conditionalFormatting sqref="G91">
    <cfRule type="cellIs" dxfId="5" priority="6" stopIfTrue="1" operator="equal">
      <formula>1</formula>
    </cfRule>
  </conditionalFormatting>
  <conditionalFormatting sqref="I91">
    <cfRule type="cellIs" dxfId="4" priority="5" stopIfTrue="1" operator="equal">
      <formula>0</formula>
    </cfRule>
  </conditionalFormatting>
  <conditionalFormatting sqref="G88 I88">
    <cfRule type="cellIs" dxfId="3" priority="4" stopIfTrue="1" operator="equal">
      <formula>0</formula>
    </cfRule>
  </conditionalFormatting>
  <conditionalFormatting sqref="G88">
    <cfRule type="cellIs" dxfId="2" priority="3" stopIfTrue="1" operator="equal">
      <formula>1</formula>
    </cfRule>
  </conditionalFormatting>
  <conditionalFormatting sqref="G89 I89">
    <cfRule type="cellIs" dxfId="1" priority="2" stopIfTrue="1" operator="equal">
      <formula>0</formula>
    </cfRule>
  </conditionalFormatting>
  <conditionalFormatting sqref="G89">
    <cfRule type="cellIs" dxfId="0" priority="1" stopIfTrue="1" operator="equal">
      <formula>1</formula>
    </cfRule>
  </conditionalFormatting>
  <dataValidations count="8">
    <dataValidation type="list" allowBlank="1" showInputMessage="1" showErrorMessage="1" sqref="K85:K95 K69:K80">
      <formula1>lstTracked</formula1>
    </dataValidation>
    <dataValidation type="list" allowBlank="1" showInputMessage="1" showErrorMessage="1" sqref="L69:L80 L85:L95">
      <formula1>lstOrigin</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6">
      <formula1>lstCompleteness</formula1>
    </dataValidation>
    <dataValidation type="list" allowBlank="1" showInputMessage="1" showErrorMessage="1" sqref="D15">
      <formula1>"&lt;select from list&gt;, Yes, No"</formula1>
    </dataValidation>
    <dataValidation type="list" allowBlank="1" showInputMessage="1" showErrorMessage="1" sqref="D14">
      <formula1>lstProcessScope</formula1>
    </dataValidation>
    <dataValidation type="list" allowBlank="1" showInputMessage="1" showErrorMessage="1" sqref="D13">
      <formula1>lstProcessType</formula1>
    </dataValidation>
    <dataValidation type="textLength" operator="lessThan" allowBlank="1" showInputMessage="1" showErrorMessage="1" error="Over Limit" prompt="Max Length = 15" sqref="C90:C91 C23:C63">
      <formula1>16</formula1>
    </dataValidation>
  </dataValidations>
  <pageMargins left="0.25" right="0.25" top="0.5" bottom="0.5" header="0.3" footer="0.3"/>
  <pageSetup scale="54" fitToHeight="100" orientation="landscape" r:id="rId2"/>
  <headerFooter alignWithMargins="0">
    <oddFooter>Page &amp;P&amp;R&amp;F</oddFooter>
  </headerFooter>
  <rowBreaks count="1" manualBreakCount="1">
    <brk id="65" max="14" man="1"/>
  </rowBreaks>
  <drawing r:id="rId3"/>
  <legacyDrawing r:id="rId4"/>
  <controls>
    <mc:AlternateContent xmlns:mc="http://schemas.openxmlformats.org/markup-compatibility/2006">
      <mc:Choice Requires="x14">
        <control shapeId="26628" r:id="rId5" name="CheckBox3">
          <controlPr defaultSize="0" autoFill="0" autoLine="0" r:id="rId6">
            <anchor moveWithCells="1">
              <from>
                <xdr:col>3</xdr:col>
                <xdr:colOff>2895600</xdr:colOff>
                <xdr:row>16</xdr:row>
                <xdr:rowOff>28575</xdr:rowOff>
              </from>
              <to>
                <xdr:col>4</xdr:col>
                <xdr:colOff>66675</xdr:colOff>
                <xdr:row>17</xdr:row>
                <xdr:rowOff>9525</xdr:rowOff>
              </to>
            </anchor>
          </controlPr>
        </control>
      </mc:Choice>
      <mc:Fallback>
        <control shapeId="26628" r:id="rId5" name="CheckBox3"/>
      </mc:Fallback>
    </mc:AlternateContent>
    <mc:AlternateContent xmlns:mc="http://schemas.openxmlformats.org/markup-compatibility/2006">
      <mc:Choice Requires="x14">
        <control shapeId="26627" r:id="rId7" name="CheckBox2">
          <controlPr defaultSize="0" autoFill="0" autoLine="0" r:id="rId8">
            <anchor moveWithCells="1">
              <from>
                <xdr:col>3</xdr:col>
                <xdr:colOff>1828800</xdr:colOff>
                <xdr:row>16</xdr:row>
                <xdr:rowOff>28575</xdr:rowOff>
              </from>
              <to>
                <xdr:col>3</xdr:col>
                <xdr:colOff>2781300</xdr:colOff>
                <xdr:row>17</xdr:row>
                <xdr:rowOff>9525</xdr:rowOff>
              </to>
            </anchor>
          </controlPr>
        </control>
      </mc:Choice>
      <mc:Fallback>
        <control shapeId="26627" r:id="rId7" name="CheckBox2"/>
      </mc:Fallback>
    </mc:AlternateContent>
    <mc:AlternateContent xmlns:mc="http://schemas.openxmlformats.org/markup-compatibility/2006">
      <mc:Choice Requires="x14">
        <control shapeId="26626" r:id="rId9" name="CheckBox1">
          <controlPr defaultSize="0" autoFill="0" autoLine="0" r:id="rId10">
            <anchor moveWithCells="1">
              <from>
                <xdr:col>3</xdr:col>
                <xdr:colOff>809625</xdr:colOff>
                <xdr:row>16</xdr:row>
                <xdr:rowOff>28575</xdr:rowOff>
              </from>
              <to>
                <xdr:col>3</xdr:col>
                <xdr:colOff>1685925</xdr:colOff>
                <xdr:row>17</xdr:row>
                <xdr:rowOff>9525</xdr:rowOff>
              </to>
            </anchor>
          </controlPr>
        </control>
      </mc:Choice>
      <mc:Fallback>
        <control shapeId="26626" r:id="rId9" name="CheckBox1"/>
      </mc:Fallback>
    </mc:AlternateContent>
    <mc:AlternateContent xmlns:mc="http://schemas.openxmlformats.org/markup-compatibility/2006">
      <mc:Choice Requires="x14">
        <control shapeId="26625" r:id="rId11" name="Process">
          <controlPr defaultSize="0" autoFill="0" autoLine="0" r:id="rId12">
            <anchor moveWithCells="1">
              <from>
                <xdr:col>3</xdr:col>
                <xdr:colOff>57150</xdr:colOff>
                <xdr:row>16</xdr:row>
                <xdr:rowOff>28575</xdr:rowOff>
              </from>
              <to>
                <xdr:col>3</xdr:col>
                <xdr:colOff>933450</xdr:colOff>
                <xdr:row>17</xdr:row>
                <xdr:rowOff>9525</xdr:rowOff>
              </to>
            </anchor>
          </controlPr>
        </control>
      </mc:Choice>
      <mc:Fallback>
        <control shapeId="26625" r:id="rId11" name="Process"/>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65"/>
  <sheetViews>
    <sheetView zoomScaleNormal="100" workbookViewId="0">
      <pane xSplit="1" topLeftCell="AC1" activePane="topRight" state="frozen"/>
      <selection sqref="A1:N1"/>
      <selection pane="topRight" activeCell="AI2" sqref="AI2"/>
    </sheetView>
  </sheetViews>
  <sheetFormatPr defaultColWidth="30.7109375" defaultRowHeight="12.75" customHeight="1" x14ac:dyDescent="0.2"/>
  <cols>
    <col min="1" max="1" width="17.140625" style="219" customWidth="1"/>
    <col min="2" max="16384" width="30.7109375" style="219"/>
  </cols>
  <sheetData>
    <row r="1" spans="1:251" s="201" customFormat="1" ht="12.75" customHeight="1" x14ac:dyDescent="0.2">
      <c r="A1" s="200" t="s">
        <v>259</v>
      </c>
    </row>
    <row r="2" spans="1:251" s="102" customFormat="1" ht="12.75" customHeight="1" x14ac:dyDescent="0.2">
      <c r="A2" s="202" t="s">
        <v>260</v>
      </c>
      <c r="B2" s="102">
        <v>1</v>
      </c>
      <c r="C2" s="102">
        <v>2</v>
      </c>
      <c r="D2" s="102">
        <v>3</v>
      </c>
      <c r="E2" s="285" t="s">
        <v>905</v>
      </c>
      <c r="F2" s="102">
        <v>5</v>
      </c>
      <c r="G2" s="285" t="s">
        <v>906</v>
      </c>
      <c r="H2" s="285" t="s">
        <v>910</v>
      </c>
      <c r="I2" s="102">
        <v>8</v>
      </c>
      <c r="J2" s="285" t="s">
        <v>913</v>
      </c>
      <c r="K2" s="285" t="s">
        <v>914</v>
      </c>
      <c r="L2" s="102">
        <v>11</v>
      </c>
      <c r="M2" s="102">
        <v>12</v>
      </c>
      <c r="N2" s="102">
        <v>13</v>
      </c>
      <c r="O2" s="102">
        <v>14</v>
      </c>
      <c r="P2" s="102">
        <v>15</v>
      </c>
      <c r="Q2" s="102">
        <v>16</v>
      </c>
      <c r="R2" s="102">
        <v>17</v>
      </c>
      <c r="S2" s="102">
        <v>18</v>
      </c>
      <c r="T2" s="102">
        <v>19</v>
      </c>
      <c r="U2" s="102">
        <v>20</v>
      </c>
      <c r="V2" s="102">
        <v>21</v>
      </c>
      <c r="W2" s="102">
        <v>22</v>
      </c>
      <c r="X2" s="102">
        <v>23</v>
      </c>
      <c r="Y2" s="285" t="s">
        <v>915</v>
      </c>
      <c r="Z2" s="102">
        <v>25</v>
      </c>
      <c r="AA2" s="102">
        <v>26</v>
      </c>
      <c r="AB2" s="102">
        <v>27</v>
      </c>
      <c r="AC2" s="102">
        <v>28</v>
      </c>
      <c r="AD2" s="102">
        <v>29</v>
      </c>
      <c r="AE2" s="102">
        <v>30</v>
      </c>
      <c r="AF2" s="102">
        <v>31</v>
      </c>
      <c r="AG2" s="102">
        <v>32</v>
      </c>
      <c r="AH2" s="102">
        <v>33</v>
      </c>
      <c r="AI2" s="102">
        <v>34</v>
      </c>
      <c r="AX2" s="102" t="str">
        <f t="shared" ref="AX2:BK2" si="0">IF(AX3="","",AW2+1)</f>
        <v/>
      </c>
      <c r="AY2" s="102" t="str">
        <f t="shared" si="0"/>
        <v/>
      </c>
      <c r="AZ2" s="102" t="str">
        <f t="shared" si="0"/>
        <v/>
      </c>
      <c r="BA2" s="102" t="str">
        <f t="shared" si="0"/>
        <v/>
      </c>
      <c r="BB2" s="102" t="str">
        <f t="shared" si="0"/>
        <v/>
      </c>
      <c r="BC2" s="102" t="str">
        <f t="shared" si="0"/>
        <v/>
      </c>
      <c r="BD2" s="102" t="str">
        <f t="shared" si="0"/>
        <v/>
      </c>
      <c r="BE2" s="102" t="str">
        <f t="shared" si="0"/>
        <v/>
      </c>
      <c r="BF2" s="102" t="str">
        <f t="shared" si="0"/>
        <v/>
      </c>
      <c r="BG2" s="102" t="str">
        <f t="shared" si="0"/>
        <v/>
      </c>
      <c r="BH2" s="102" t="str">
        <f t="shared" si="0"/>
        <v/>
      </c>
      <c r="BI2" s="102" t="str">
        <f t="shared" si="0"/>
        <v/>
      </c>
      <c r="BJ2" s="102" t="str">
        <f t="shared" si="0"/>
        <v/>
      </c>
      <c r="BK2" s="102" t="str">
        <f t="shared" si="0"/>
        <v/>
      </c>
      <c r="BL2" s="102" t="str">
        <f t="shared" ref="BL2:DW2" si="1">IF(BK3="","",BK2+1)</f>
        <v/>
      </c>
      <c r="BM2" s="102" t="str">
        <f t="shared" si="1"/>
        <v/>
      </c>
      <c r="BN2" s="102" t="str">
        <f t="shared" si="1"/>
        <v/>
      </c>
      <c r="BO2" s="102" t="str">
        <f t="shared" si="1"/>
        <v/>
      </c>
      <c r="BP2" s="102" t="str">
        <f t="shared" si="1"/>
        <v/>
      </c>
      <c r="BQ2" s="102" t="str">
        <f t="shared" si="1"/>
        <v/>
      </c>
      <c r="BR2" s="102" t="str">
        <f t="shared" si="1"/>
        <v/>
      </c>
      <c r="BS2" s="102" t="str">
        <f t="shared" si="1"/>
        <v/>
      </c>
      <c r="BT2" s="102" t="str">
        <f t="shared" si="1"/>
        <v/>
      </c>
      <c r="BU2" s="102" t="str">
        <f t="shared" si="1"/>
        <v/>
      </c>
      <c r="BV2" s="102" t="str">
        <f t="shared" si="1"/>
        <v/>
      </c>
      <c r="BW2" s="102" t="str">
        <f t="shared" si="1"/>
        <v/>
      </c>
      <c r="BX2" s="102" t="str">
        <f t="shared" si="1"/>
        <v/>
      </c>
      <c r="BY2" s="102" t="str">
        <f t="shared" si="1"/>
        <v/>
      </c>
      <c r="BZ2" s="102" t="str">
        <f t="shared" si="1"/>
        <v/>
      </c>
      <c r="CA2" s="102" t="str">
        <f t="shared" si="1"/>
        <v/>
      </c>
      <c r="CB2" s="102" t="str">
        <f t="shared" si="1"/>
        <v/>
      </c>
      <c r="CC2" s="102" t="str">
        <f t="shared" si="1"/>
        <v/>
      </c>
      <c r="CD2" s="102" t="str">
        <f t="shared" si="1"/>
        <v/>
      </c>
      <c r="CE2" s="102" t="str">
        <f t="shared" si="1"/>
        <v/>
      </c>
      <c r="CF2" s="102" t="str">
        <f t="shared" si="1"/>
        <v/>
      </c>
      <c r="CG2" s="102" t="str">
        <f t="shared" si="1"/>
        <v/>
      </c>
      <c r="CH2" s="102" t="str">
        <f t="shared" si="1"/>
        <v/>
      </c>
      <c r="CI2" s="102" t="str">
        <f t="shared" si="1"/>
        <v/>
      </c>
      <c r="CJ2" s="102" t="str">
        <f t="shared" si="1"/>
        <v/>
      </c>
      <c r="CK2" s="102" t="str">
        <f t="shared" si="1"/>
        <v/>
      </c>
      <c r="CL2" s="102" t="str">
        <f t="shared" si="1"/>
        <v/>
      </c>
      <c r="CM2" s="102" t="str">
        <f t="shared" si="1"/>
        <v/>
      </c>
      <c r="CN2" s="102" t="str">
        <f t="shared" si="1"/>
        <v/>
      </c>
      <c r="CO2" s="102" t="str">
        <f t="shared" si="1"/>
        <v/>
      </c>
      <c r="CP2" s="102" t="str">
        <f t="shared" si="1"/>
        <v/>
      </c>
      <c r="CQ2" s="102" t="str">
        <f t="shared" si="1"/>
        <v/>
      </c>
      <c r="CR2" s="102" t="str">
        <f t="shared" si="1"/>
        <v/>
      </c>
      <c r="CS2" s="102" t="str">
        <f t="shared" si="1"/>
        <v/>
      </c>
      <c r="CT2" s="102" t="str">
        <f t="shared" si="1"/>
        <v/>
      </c>
      <c r="CU2" s="102" t="str">
        <f t="shared" si="1"/>
        <v/>
      </c>
      <c r="CV2" s="102" t="str">
        <f t="shared" si="1"/>
        <v/>
      </c>
      <c r="CW2" s="102" t="str">
        <f t="shared" si="1"/>
        <v/>
      </c>
      <c r="CX2" s="102" t="str">
        <f t="shared" si="1"/>
        <v/>
      </c>
      <c r="CY2" s="102" t="str">
        <f t="shared" si="1"/>
        <v/>
      </c>
      <c r="CZ2" s="102" t="str">
        <f t="shared" si="1"/>
        <v/>
      </c>
      <c r="DA2" s="102" t="str">
        <f t="shared" si="1"/>
        <v/>
      </c>
      <c r="DB2" s="102" t="str">
        <f t="shared" si="1"/>
        <v/>
      </c>
      <c r="DC2" s="102" t="str">
        <f t="shared" si="1"/>
        <v/>
      </c>
      <c r="DD2" s="102" t="str">
        <f t="shared" si="1"/>
        <v/>
      </c>
      <c r="DE2" s="102" t="str">
        <f t="shared" si="1"/>
        <v/>
      </c>
      <c r="DF2" s="102" t="str">
        <f t="shared" si="1"/>
        <v/>
      </c>
      <c r="DG2" s="102" t="str">
        <f t="shared" si="1"/>
        <v/>
      </c>
      <c r="DH2" s="102" t="str">
        <f t="shared" si="1"/>
        <v/>
      </c>
      <c r="DI2" s="102" t="str">
        <f t="shared" si="1"/>
        <v/>
      </c>
      <c r="DJ2" s="102" t="str">
        <f t="shared" si="1"/>
        <v/>
      </c>
      <c r="DK2" s="102" t="str">
        <f t="shared" si="1"/>
        <v/>
      </c>
      <c r="DL2" s="102" t="str">
        <f t="shared" si="1"/>
        <v/>
      </c>
      <c r="DM2" s="102" t="str">
        <f t="shared" si="1"/>
        <v/>
      </c>
      <c r="DN2" s="102" t="str">
        <f t="shared" si="1"/>
        <v/>
      </c>
      <c r="DO2" s="102" t="str">
        <f t="shared" si="1"/>
        <v/>
      </c>
      <c r="DP2" s="102" t="str">
        <f t="shared" si="1"/>
        <v/>
      </c>
      <c r="DQ2" s="102" t="str">
        <f t="shared" si="1"/>
        <v/>
      </c>
      <c r="DR2" s="102" t="str">
        <f t="shared" si="1"/>
        <v/>
      </c>
      <c r="DS2" s="102" t="str">
        <f t="shared" si="1"/>
        <v/>
      </c>
      <c r="DT2" s="102" t="str">
        <f t="shared" si="1"/>
        <v/>
      </c>
      <c r="DU2" s="102" t="str">
        <f t="shared" si="1"/>
        <v/>
      </c>
      <c r="DV2" s="102" t="str">
        <f t="shared" si="1"/>
        <v/>
      </c>
      <c r="DW2" s="102" t="str">
        <f t="shared" si="1"/>
        <v/>
      </c>
      <c r="DX2" s="102" t="str">
        <f t="shared" ref="DX2:GI2" si="2">IF(DW3="","",DW2+1)</f>
        <v/>
      </c>
      <c r="DY2" s="102" t="str">
        <f t="shared" si="2"/>
        <v/>
      </c>
      <c r="DZ2" s="102" t="str">
        <f t="shared" si="2"/>
        <v/>
      </c>
      <c r="EA2" s="102" t="str">
        <f t="shared" si="2"/>
        <v/>
      </c>
      <c r="EB2" s="102" t="str">
        <f t="shared" si="2"/>
        <v/>
      </c>
      <c r="EC2" s="102" t="str">
        <f t="shared" si="2"/>
        <v/>
      </c>
      <c r="ED2" s="102" t="str">
        <f t="shared" si="2"/>
        <v/>
      </c>
      <c r="EE2" s="102" t="str">
        <f t="shared" si="2"/>
        <v/>
      </c>
      <c r="EF2" s="102" t="str">
        <f t="shared" si="2"/>
        <v/>
      </c>
      <c r="EG2" s="102" t="str">
        <f t="shared" si="2"/>
        <v/>
      </c>
      <c r="EH2" s="102" t="str">
        <f t="shared" si="2"/>
        <v/>
      </c>
      <c r="EI2" s="102" t="str">
        <f t="shared" si="2"/>
        <v/>
      </c>
      <c r="EJ2" s="102" t="str">
        <f t="shared" si="2"/>
        <v/>
      </c>
      <c r="EK2" s="102" t="str">
        <f t="shared" si="2"/>
        <v/>
      </c>
      <c r="EL2" s="102" t="str">
        <f t="shared" si="2"/>
        <v/>
      </c>
      <c r="EM2" s="102" t="str">
        <f t="shared" si="2"/>
        <v/>
      </c>
      <c r="EN2" s="102" t="str">
        <f t="shared" si="2"/>
        <v/>
      </c>
      <c r="EO2" s="102" t="str">
        <f t="shared" si="2"/>
        <v/>
      </c>
      <c r="EP2" s="102" t="str">
        <f t="shared" si="2"/>
        <v/>
      </c>
      <c r="EQ2" s="102" t="str">
        <f t="shared" si="2"/>
        <v/>
      </c>
      <c r="ER2" s="102" t="str">
        <f t="shared" si="2"/>
        <v/>
      </c>
      <c r="ES2" s="102" t="str">
        <f t="shared" si="2"/>
        <v/>
      </c>
      <c r="ET2" s="102" t="str">
        <f t="shared" si="2"/>
        <v/>
      </c>
      <c r="EU2" s="102" t="str">
        <f t="shared" si="2"/>
        <v/>
      </c>
      <c r="EV2" s="102" t="str">
        <f t="shared" si="2"/>
        <v/>
      </c>
      <c r="EW2" s="102" t="str">
        <f t="shared" si="2"/>
        <v/>
      </c>
      <c r="EX2" s="102" t="str">
        <f t="shared" si="2"/>
        <v/>
      </c>
      <c r="EY2" s="102" t="str">
        <f t="shared" si="2"/>
        <v/>
      </c>
      <c r="EZ2" s="102" t="str">
        <f t="shared" si="2"/>
        <v/>
      </c>
      <c r="FA2" s="102" t="str">
        <f t="shared" si="2"/>
        <v/>
      </c>
      <c r="FB2" s="102" t="str">
        <f t="shared" si="2"/>
        <v/>
      </c>
      <c r="FC2" s="102" t="str">
        <f t="shared" si="2"/>
        <v/>
      </c>
      <c r="FD2" s="102" t="str">
        <f t="shared" si="2"/>
        <v/>
      </c>
      <c r="FE2" s="102" t="str">
        <f t="shared" si="2"/>
        <v/>
      </c>
      <c r="FF2" s="102" t="str">
        <f t="shared" si="2"/>
        <v/>
      </c>
      <c r="FG2" s="102" t="str">
        <f t="shared" si="2"/>
        <v/>
      </c>
      <c r="FH2" s="102" t="str">
        <f t="shared" si="2"/>
        <v/>
      </c>
      <c r="FI2" s="102" t="str">
        <f t="shared" si="2"/>
        <v/>
      </c>
      <c r="FJ2" s="102" t="str">
        <f t="shared" si="2"/>
        <v/>
      </c>
      <c r="FK2" s="102" t="str">
        <f t="shared" si="2"/>
        <v/>
      </c>
      <c r="FL2" s="102" t="str">
        <f t="shared" si="2"/>
        <v/>
      </c>
      <c r="FM2" s="102" t="str">
        <f t="shared" si="2"/>
        <v/>
      </c>
      <c r="FN2" s="102" t="str">
        <f t="shared" si="2"/>
        <v/>
      </c>
      <c r="FO2" s="102" t="str">
        <f t="shared" si="2"/>
        <v/>
      </c>
      <c r="FP2" s="102" t="str">
        <f t="shared" si="2"/>
        <v/>
      </c>
      <c r="FQ2" s="102" t="str">
        <f t="shared" si="2"/>
        <v/>
      </c>
      <c r="FR2" s="102" t="str">
        <f t="shared" si="2"/>
        <v/>
      </c>
      <c r="FS2" s="102" t="str">
        <f t="shared" si="2"/>
        <v/>
      </c>
      <c r="FT2" s="102" t="str">
        <f t="shared" si="2"/>
        <v/>
      </c>
      <c r="FU2" s="102" t="str">
        <f t="shared" si="2"/>
        <v/>
      </c>
      <c r="FV2" s="102" t="str">
        <f t="shared" si="2"/>
        <v/>
      </c>
      <c r="FW2" s="102" t="str">
        <f t="shared" si="2"/>
        <v/>
      </c>
      <c r="FX2" s="102" t="str">
        <f t="shared" si="2"/>
        <v/>
      </c>
      <c r="FY2" s="102" t="str">
        <f t="shared" si="2"/>
        <v/>
      </c>
      <c r="FZ2" s="102" t="str">
        <f t="shared" si="2"/>
        <v/>
      </c>
      <c r="GA2" s="102" t="str">
        <f t="shared" si="2"/>
        <v/>
      </c>
      <c r="GB2" s="102" t="str">
        <f t="shared" si="2"/>
        <v/>
      </c>
      <c r="GC2" s="102" t="str">
        <f t="shared" si="2"/>
        <v/>
      </c>
      <c r="GD2" s="102" t="str">
        <f t="shared" si="2"/>
        <v/>
      </c>
      <c r="GE2" s="102" t="str">
        <f t="shared" si="2"/>
        <v/>
      </c>
      <c r="GF2" s="102" t="str">
        <f t="shared" si="2"/>
        <v/>
      </c>
      <c r="GG2" s="102" t="str">
        <f t="shared" si="2"/>
        <v/>
      </c>
      <c r="GH2" s="102" t="str">
        <f t="shared" si="2"/>
        <v/>
      </c>
      <c r="GI2" s="102" t="str">
        <f t="shared" si="2"/>
        <v/>
      </c>
      <c r="GJ2" s="102" t="str">
        <f t="shared" ref="GJ2:IQ2" si="3">IF(GI3="","",GI2+1)</f>
        <v/>
      </c>
      <c r="GK2" s="102" t="str">
        <f t="shared" si="3"/>
        <v/>
      </c>
      <c r="GL2" s="102" t="str">
        <f t="shared" si="3"/>
        <v/>
      </c>
      <c r="GM2" s="102" t="str">
        <f t="shared" si="3"/>
        <v/>
      </c>
      <c r="GN2" s="102" t="str">
        <f t="shared" si="3"/>
        <v/>
      </c>
      <c r="GO2" s="102" t="str">
        <f t="shared" si="3"/>
        <v/>
      </c>
      <c r="GP2" s="102" t="str">
        <f t="shared" si="3"/>
        <v/>
      </c>
      <c r="GQ2" s="102" t="str">
        <f t="shared" si="3"/>
        <v/>
      </c>
      <c r="GR2" s="102" t="str">
        <f t="shared" si="3"/>
        <v/>
      </c>
      <c r="GS2" s="102" t="str">
        <f t="shared" si="3"/>
        <v/>
      </c>
      <c r="GT2" s="102" t="str">
        <f t="shared" si="3"/>
        <v/>
      </c>
      <c r="GU2" s="102" t="str">
        <f t="shared" si="3"/>
        <v/>
      </c>
      <c r="GV2" s="102" t="str">
        <f t="shared" si="3"/>
        <v/>
      </c>
      <c r="GW2" s="102" t="str">
        <f t="shared" si="3"/>
        <v/>
      </c>
      <c r="GX2" s="102" t="str">
        <f t="shared" si="3"/>
        <v/>
      </c>
      <c r="GY2" s="102" t="str">
        <f t="shared" si="3"/>
        <v/>
      </c>
      <c r="GZ2" s="102" t="str">
        <f t="shared" si="3"/>
        <v/>
      </c>
      <c r="HA2" s="102" t="str">
        <f t="shared" si="3"/>
        <v/>
      </c>
      <c r="HB2" s="102" t="str">
        <f t="shared" si="3"/>
        <v/>
      </c>
      <c r="HC2" s="102" t="str">
        <f t="shared" si="3"/>
        <v/>
      </c>
      <c r="HD2" s="102" t="str">
        <f t="shared" si="3"/>
        <v/>
      </c>
      <c r="HE2" s="102" t="str">
        <f t="shared" si="3"/>
        <v/>
      </c>
      <c r="HF2" s="102" t="str">
        <f t="shared" si="3"/>
        <v/>
      </c>
      <c r="HG2" s="102" t="str">
        <f t="shared" si="3"/>
        <v/>
      </c>
      <c r="HH2" s="102" t="str">
        <f t="shared" si="3"/>
        <v/>
      </c>
      <c r="HI2" s="102" t="str">
        <f t="shared" si="3"/>
        <v/>
      </c>
      <c r="HJ2" s="102" t="str">
        <f t="shared" si="3"/>
        <v/>
      </c>
      <c r="HK2" s="102" t="str">
        <f t="shared" si="3"/>
        <v/>
      </c>
      <c r="HL2" s="102" t="str">
        <f t="shared" si="3"/>
        <v/>
      </c>
      <c r="HM2" s="102" t="str">
        <f t="shared" si="3"/>
        <v/>
      </c>
      <c r="HN2" s="102" t="str">
        <f t="shared" si="3"/>
        <v/>
      </c>
      <c r="HO2" s="102" t="str">
        <f t="shared" si="3"/>
        <v/>
      </c>
      <c r="HP2" s="102" t="str">
        <f t="shared" si="3"/>
        <v/>
      </c>
      <c r="HQ2" s="102" t="str">
        <f t="shared" si="3"/>
        <v/>
      </c>
      <c r="HR2" s="102" t="str">
        <f t="shared" si="3"/>
        <v/>
      </c>
      <c r="HS2" s="102" t="str">
        <f t="shared" si="3"/>
        <v/>
      </c>
      <c r="HT2" s="102" t="str">
        <f t="shared" si="3"/>
        <v/>
      </c>
      <c r="HU2" s="102" t="str">
        <f t="shared" si="3"/>
        <v/>
      </c>
      <c r="HV2" s="102" t="str">
        <f t="shared" si="3"/>
        <v/>
      </c>
      <c r="HW2" s="102" t="str">
        <f t="shared" si="3"/>
        <v/>
      </c>
      <c r="HX2" s="102" t="str">
        <f t="shared" si="3"/>
        <v/>
      </c>
      <c r="HY2" s="102" t="str">
        <f t="shared" si="3"/>
        <v/>
      </c>
      <c r="HZ2" s="102" t="str">
        <f t="shared" si="3"/>
        <v/>
      </c>
      <c r="IA2" s="102" t="str">
        <f t="shared" si="3"/>
        <v/>
      </c>
      <c r="IB2" s="102" t="str">
        <f t="shared" si="3"/>
        <v/>
      </c>
      <c r="IC2" s="102" t="str">
        <f t="shared" si="3"/>
        <v/>
      </c>
      <c r="ID2" s="102" t="str">
        <f t="shared" si="3"/>
        <v/>
      </c>
      <c r="IE2" s="102" t="str">
        <f t="shared" si="3"/>
        <v/>
      </c>
      <c r="IF2" s="102" t="str">
        <f t="shared" si="3"/>
        <v/>
      </c>
      <c r="IG2" s="102" t="str">
        <f t="shared" si="3"/>
        <v/>
      </c>
      <c r="IH2" s="102" t="str">
        <f t="shared" si="3"/>
        <v/>
      </c>
      <c r="II2" s="102" t="str">
        <f t="shared" si="3"/>
        <v/>
      </c>
      <c r="IJ2" s="102" t="str">
        <f t="shared" si="3"/>
        <v/>
      </c>
      <c r="IK2" s="102" t="str">
        <f t="shared" si="3"/>
        <v/>
      </c>
      <c r="IL2" s="102" t="str">
        <f t="shared" si="3"/>
        <v/>
      </c>
      <c r="IM2" s="102" t="str">
        <f t="shared" si="3"/>
        <v/>
      </c>
      <c r="IN2" s="102" t="str">
        <f t="shared" si="3"/>
        <v/>
      </c>
      <c r="IO2" s="102" t="str">
        <f t="shared" si="3"/>
        <v/>
      </c>
      <c r="IP2" s="102" t="str">
        <f t="shared" si="3"/>
        <v/>
      </c>
      <c r="IQ2" s="102" t="str">
        <f t="shared" si="3"/>
        <v/>
      </c>
    </row>
    <row r="3" spans="1:251" s="101" customFormat="1" ht="12.75" customHeight="1" x14ac:dyDescent="0.2">
      <c r="A3" s="203" t="s">
        <v>261</v>
      </c>
      <c r="B3" s="101" t="s">
        <v>486</v>
      </c>
      <c r="C3" s="101" t="s">
        <v>486</v>
      </c>
      <c r="D3" s="101" t="s">
        <v>486</v>
      </c>
      <c r="E3" s="286" t="s">
        <v>414</v>
      </c>
      <c r="F3" s="101" t="s">
        <v>414</v>
      </c>
      <c r="G3" s="286" t="s">
        <v>414</v>
      </c>
      <c r="H3" s="286" t="s">
        <v>487</v>
      </c>
      <c r="I3" s="101" t="s">
        <v>414</v>
      </c>
      <c r="J3" s="286" t="s">
        <v>486</v>
      </c>
      <c r="K3" s="286" t="s">
        <v>414</v>
      </c>
      <c r="L3" s="158" t="s">
        <v>414</v>
      </c>
      <c r="M3" s="101" t="s">
        <v>486</v>
      </c>
      <c r="N3" s="101" t="s">
        <v>414</v>
      </c>
      <c r="O3" s="101" t="s">
        <v>487</v>
      </c>
      <c r="P3" s="101" t="s">
        <v>716</v>
      </c>
      <c r="Q3" s="101" t="s">
        <v>414</v>
      </c>
      <c r="R3" s="101" t="s">
        <v>487</v>
      </c>
      <c r="S3" s="101" t="s">
        <v>414</v>
      </c>
      <c r="T3" s="101" t="s">
        <v>487</v>
      </c>
      <c r="U3" s="101" t="s">
        <v>486</v>
      </c>
      <c r="V3" s="101" t="s">
        <v>414</v>
      </c>
      <c r="W3" s="101" t="s">
        <v>487</v>
      </c>
      <c r="X3" s="101" t="s">
        <v>487</v>
      </c>
      <c r="Y3" s="286" t="s">
        <v>414</v>
      </c>
      <c r="Z3" s="158" t="s">
        <v>414</v>
      </c>
      <c r="AA3" s="158" t="s">
        <v>414</v>
      </c>
      <c r="AB3" s="158" t="s">
        <v>487</v>
      </c>
      <c r="AC3" s="280" t="s">
        <v>414</v>
      </c>
      <c r="AD3" s="280" t="s">
        <v>838</v>
      </c>
      <c r="AE3" s="158" t="s">
        <v>414</v>
      </c>
      <c r="AF3" s="158" t="s">
        <v>414</v>
      </c>
      <c r="AG3" s="158" t="s">
        <v>414</v>
      </c>
      <c r="AH3" s="101" t="s">
        <v>1136</v>
      </c>
      <c r="AI3" s="101" t="s">
        <v>1136</v>
      </c>
      <c r="GH3" s="204"/>
      <c r="GI3" s="204"/>
      <c r="GJ3" s="204"/>
      <c r="GK3" s="204"/>
      <c r="GL3" s="204"/>
      <c r="GM3" s="204"/>
      <c r="GN3" s="204"/>
      <c r="GO3" s="204"/>
      <c r="GP3" s="204"/>
      <c r="GQ3" s="204"/>
      <c r="GR3" s="204"/>
      <c r="GS3" s="204"/>
      <c r="GT3" s="204"/>
      <c r="GU3" s="204"/>
      <c r="GV3" s="204"/>
      <c r="GW3" s="204"/>
      <c r="GX3" s="204"/>
      <c r="GY3" s="204"/>
      <c r="GZ3" s="204"/>
      <c r="HA3" s="204"/>
      <c r="HB3" s="204"/>
      <c r="HC3" s="204"/>
      <c r="HD3" s="204"/>
      <c r="HE3" s="204"/>
      <c r="HF3" s="204"/>
      <c r="HG3" s="204"/>
    </row>
    <row r="4" spans="1:251" s="101" customFormat="1" ht="76.5" x14ac:dyDescent="0.2">
      <c r="A4" s="203" t="s">
        <v>262</v>
      </c>
      <c r="B4" s="101" t="s">
        <v>488</v>
      </c>
      <c r="C4" s="101" t="s">
        <v>489</v>
      </c>
      <c r="D4" s="101" t="s">
        <v>490</v>
      </c>
      <c r="E4" s="286" t="s">
        <v>491</v>
      </c>
      <c r="F4" s="101" t="s">
        <v>492</v>
      </c>
      <c r="G4" s="286" t="s">
        <v>493</v>
      </c>
      <c r="H4" s="286" t="s">
        <v>494</v>
      </c>
      <c r="I4" s="101" t="s">
        <v>495</v>
      </c>
      <c r="J4" s="286" t="s">
        <v>496</v>
      </c>
      <c r="K4" s="286" t="s">
        <v>412</v>
      </c>
      <c r="L4" s="101" t="s">
        <v>413</v>
      </c>
      <c r="M4" s="158" t="s">
        <v>707</v>
      </c>
      <c r="N4" s="101" t="s">
        <v>497</v>
      </c>
      <c r="O4" s="101" t="s">
        <v>710</v>
      </c>
      <c r="P4" s="101" t="s">
        <v>717</v>
      </c>
      <c r="Q4" s="101" t="s">
        <v>499</v>
      </c>
      <c r="R4" s="101" t="s">
        <v>500</v>
      </c>
      <c r="S4" s="101" t="s">
        <v>501</v>
      </c>
      <c r="T4" s="101" t="s">
        <v>498</v>
      </c>
      <c r="U4" s="101" t="s">
        <v>502</v>
      </c>
      <c r="V4" s="101" t="s">
        <v>730</v>
      </c>
      <c r="W4" s="101" t="s">
        <v>731</v>
      </c>
      <c r="X4" s="101" t="s">
        <v>171</v>
      </c>
      <c r="Y4" s="286" t="s">
        <v>172</v>
      </c>
      <c r="Z4" s="158" t="s">
        <v>839</v>
      </c>
      <c r="AA4" s="158" t="s">
        <v>840</v>
      </c>
      <c r="AB4" s="158" t="s">
        <v>841</v>
      </c>
      <c r="AC4" s="280" t="s">
        <v>842</v>
      </c>
      <c r="AD4" s="280" t="s">
        <v>843</v>
      </c>
      <c r="AE4" s="158" t="s">
        <v>874</v>
      </c>
      <c r="AF4" s="158" t="s">
        <v>883</v>
      </c>
      <c r="AG4" s="158" t="s">
        <v>1113</v>
      </c>
      <c r="AH4" s="101" t="s">
        <v>1137</v>
      </c>
      <c r="AI4" s="101" t="s">
        <v>1137</v>
      </c>
      <c r="AV4" s="158"/>
      <c r="AW4" s="158"/>
      <c r="AX4" s="158"/>
      <c r="AY4" s="158"/>
      <c r="AZ4" s="158"/>
      <c r="BA4" s="158"/>
      <c r="BB4" s="158"/>
      <c r="GF4" s="204"/>
      <c r="GH4" s="204"/>
      <c r="GI4" s="204"/>
      <c r="GJ4" s="204"/>
      <c r="GK4" s="204"/>
      <c r="GL4" s="204"/>
      <c r="GM4" s="204"/>
      <c r="GN4" s="204"/>
      <c r="GO4" s="204"/>
      <c r="GP4" s="204"/>
      <c r="GQ4" s="204"/>
      <c r="GR4" s="204"/>
      <c r="GS4" s="204"/>
      <c r="GT4" s="204"/>
      <c r="GU4" s="204"/>
      <c r="GV4" s="204"/>
      <c r="GW4" s="204"/>
      <c r="GX4" s="204"/>
      <c r="GY4" s="204"/>
      <c r="GZ4" s="204"/>
      <c r="HA4" s="204"/>
      <c r="HB4" s="204"/>
      <c r="HC4" s="204"/>
      <c r="HD4" s="204"/>
      <c r="HE4" s="204"/>
      <c r="HF4" s="204"/>
      <c r="HG4" s="204"/>
    </row>
    <row r="5" spans="1:251" s="159" customFormat="1" ht="25.5" x14ac:dyDescent="0.2">
      <c r="A5" s="205" t="s">
        <v>263</v>
      </c>
      <c r="B5" s="159" t="s">
        <v>503</v>
      </c>
      <c r="C5" s="159" t="s">
        <v>503</v>
      </c>
      <c r="D5" s="159" t="s">
        <v>504</v>
      </c>
      <c r="E5" s="286" t="s">
        <v>415</v>
      </c>
      <c r="F5" s="159" t="s">
        <v>505</v>
      </c>
      <c r="G5" s="286" t="s">
        <v>506</v>
      </c>
      <c r="H5" s="286" t="s">
        <v>507</v>
      </c>
      <c r="I5" s="159" t="s">
        <v>508</v>
      </c>
      <c r="J5" s="286" t="s">
        <v>507</v>
      </c>
      <c r="K5" s="286" t="s">
        <v>415</v>
      </c>
      <c r="L5" s="159" t="s">
        <v>416</v>
      </c>
      <c r="M5" s="159" t="s">
        <v>708</v>
      </c>
      <c r="N5" s="159" t="s">
        <v>509</v>
      </c>
      <c r="O5" s="159" t="s">
        <v>711</v>
      </c>
      <c r="P5" s="159" t="s">
        <v>718</v>
      </c>
      <c r="Q5" s="159" t="s">
        <v>511</v>
      </c>
      <c r="R5" s="159" t="s">
        <v>512</v>
      </c>
      <c r="S5" s="159" t="s">
        <v>513</v>
      </c>
      <c r="T5" s="159" t="s">
        <v>510</v>
      </c>
      <c r="U5" s="159" t="s">
        <v>514</v>
      </c>
      <c r="V5" s="159" t="s">
        <v>732</v>
      </c>
      <c r="W5" s="159" t="s">
        <v>733</v>
      </c>
      <c r="X5" s="159" t="s">
        <v>173</v>
      </c>
      <c r="Y5" s="286" t="s">
        <v>174</v>
      </c>
      <c r="Z5" s="160" t="s">
        <v>844</v>
      </c>
      <c r="AA5" s="160" t="s">
        <v>845</v>
      </c>
      <c r="AB5" s="160" t="s">
        <v>846</v>
      </c>
      <c r="AC5" s="160" t="s">
        <v>847</v>
      </c>
      <c r="AD5" s="160" t="s">
        <v>848</v>
      </c>
      <c r="AE5" s="160" t="s">
        <v>873</v>
      </c>
      <c r="AF5" s="160" t="s">
        <v>884</v>
      </c>
      <c r="AG5" s="159" t="s">
        <v>1114</v>
      </c>
      <c r="AH5" s="159" t="s">
        <v>1138</v>
      </c>
      <c r="AI5" s="159" t="s">
        <v>1138</v>
      </c>
      <c r="DT5" s="160"/>
      <c r="GH5" s="206"/>
      <c r="GI5" s="206"/>
      <c r="GJ5" s="206"/>
      <c r="GK5" s="206"/>
      <c r="GL5" s="206"/>
      <c r="GM5" s="206"/>
      <c r="GN5" s="206"/>
      <c r="GO5" s="206"/>
      <c r="GP5" s="206"/>
      <c r="GQ5" s="206"/>
      <c r="GR5" s="206"/>
      <c r="GS5" s="206"/>
      <c r="GT5" s="206"/>
      <c r="GU5" s="206"/>
      <c r="GV5" s="206"/>
      <c r="GW5" s="206"/>
      <c r="GX5" s="206"/>
      <c r="GY5" s="206"/>
      <c r="GZ5" s="206"/>
      <c r="HA5" s="206"/>
      <c r="HB5" s="207"/>
      <c r="HC5" s="206"/>
      <c r="HD5" s="206"/>
      <c r="HE5" s="206"/>
      <c r="HF5" s="206"/>
      <c r="HG5" s="206"/>
    </row>
    <row r="6" spans="1:251" s="159" customFormat="1" ht="51" x14ac:dyDescent="0.2">
      <c r="A6" s="205" t="s">
        <v>264</v>
      </c>
      <c r="E6" s="286"/>
      <c r="G6" s="286"/>
      <c r="H6" s="286"/>
      <c r="J6" s="286"/>
      <c r="K6" s="286"/>
      <c r="O6" s="159" t="s">
        <v>712</v>
      </c>
      <c r="P6" s="159" t="s">
        <v>719</v>
      </c>
      <c r="Q6" s="159" t="s">
        <v>516</v>
      </c>
      <c r="R6" s="159" t="s">
        <v>517</v>
      </c>
      <c r="T6" s="159" t="s">
        <v>515</v>
      </c>
      <c r="U6" s="159" t="s">
        <v>518</v>
      </c>
      <c r="V6" s="159" t="s">
        <v>734</v>
      </c>
      <c r="X6" s="159" t="s">
        <v>175</v>
      </c>
      <c r="Y6" s="286" t="s">
        <v>176</v>
      </c>
      <c r="AB6" s="159" t="s">
        <v>849</v>
      </c>
      <c r="AD6" s="159" t="s">
        <v>850</v>
      </c>
      <c r="GH6" s="206"/>
      <c r="GI6" s="206"/>
      <c r="GJ6" s="206"/>
      <c r="GK6" s="206"/>
      <c r="GL6" s="206"/>
      <c r="GM6" s="206"/>
      <c r="GN6" s="206"/>
      <c r="GO6" s="206"/>
      <c r="GP6" s="206"/>
      <c r="GQ6" s="206"/>
      <c r="GR6" s="206"/>
      <c r="GS6" s="206"/>
      <c r="GT6" s="206"/>
      <c r="GU6" s="206"/>
      <c r="GV6" s="206"/>
      <c r="GW6" s="206"/>
      <c r="GX6" s="206"/>
      <c r="GY6" s="206"/>
      <c r="GZ6" s="206"/>
      <c r="HA6" s="206"/>
      <c r="HB6" s="206"/>
      <c r="HC6" s="206"/>
      <c r="HD6" s="206"/>
      <c r="HE6" s="206"/>
      <c r="HF6" s="206"/>
      <c r="HG6" s="206"/>
    </row>
    <row r="7" spans="1:251" s="161" customFormat="1" ht="12.75" customHeight="1" x14ac:dyDescent="0.2">
      <c r="A7" s="203" t="s">
        <v>265</v>
      </c>
      <c r="B7" s="161" t="s">
        <v>519</v>
      </c>
      <c r="C7" s="161" t="s">
        <v>519</v>
      </c>
      <c r="D7" s="161" t="s">
        <v>519</v>
      </c>
      <c r="E7" s="287" t="s">
        <v>532</v>
      </c>
      <c r="F7" s="161" t="s">
        <v>417</v>
      </c>
      <c r="G7" s="287" t="s">
        <v>521</v>
      </c>
      <c r="H7" s="287" t="s">
        <v>519</v>
      </c>
      <c r="I7" s="161" t="s">
        <v>520</v>
      </c>
      <c r="J7" s="287" t="s">
        <v>519</v>
      </c>
      <c r="K7" s="287" t="s">
        <v>532</v>
      </c>
      <c r="L7" s="161" t="s">
        <v>417</v>
      </c>
      <c r="M7" s="161" t="s">
        <v>417</v>
      </c>
      <c r="N7" s="161" t="s">
        <v>522</v>
      </c>
      <c r="O7" s="161" t="s">
        <v>713</v>
      </c>
      <c r="P7" s="162" t="s">
        <v>534</v>
      </c>
      <c r="Q7" s="161" t="s">
        <v>525</v>
      </c>
      <c r="R7" s="161" t="s">
        <v>521</v>
      </c>
      <c r="S7" s="161" t="s">
        <v>519</v>
      </c>
      <c r="T7" s="161" t="s">
        <v>523</v>
      </c>
      <c r="U7" s="161" t="s">
        <v>526</v>
      </c>
      <c r="V7" s="161" t="s">
        <v>524</v>
      </c>
      <c r="W7" s="161" t="s">
        <v>524</v>
      </c>
      <c r="X7" s="161" t="s">
        <v>521</v>
      </c>
      <c r="Y7" s="287" t="s">
        <v>177</v>
      </c>
      <c r="Z7" s="162" t="s">
        <v>531</v>
      </c>
      <c r="AA7" s="162" t="s">
        <v>531</v>
      </c>
      <c r="AB7" s="162" t="s">
        <v>417</v>
      </c>
      <c r="AC7" s="162" t="s">
        <v>531</v>
      </c>
      <c r="AD7" s="162" t="s">
        <v>532</v>
      </c>
      <c r="AE7" s="162" t="s">
        <v>525</v>
      </c>
      <c r="AF7" s="162" t="s">
        <v>531</v>
      </c>
      <c r="AG7" s="161" t="s">
        <v>1115</v>
      </c>
      <c r="AH7" s="161" t="s">
        <v>1139</v>
      </c>
      <c r="AI7" s="161" t="s">
        <v>1139</v>
      </c>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row>
    <row r="8" spans="1:251" s="161" customFormat="1" ht="12.75" customHeight="1" x14ac:dyDescent="0.2">
      <c r="A8" s="203" t="s">
        <v>278</v>
      </c>
      <c r="B8" s="162" t="s">
        <v>527</v>
      </c>
      <c r="C8" s="162"/>
      <c r="D8" s="162"/>
      <c r="E8" s="287" t="s">
        <v>193</v>
      </c>
      <c r="F8" s="162"/>
      <c r="G8" s="287"/>
      <c r="H8" s="287" t="s">
        <v>834</v>
      </c>
      <c r="I8" s="162"/>
      <c r="J8" s="287"/>
      <c r="K8" s="287"/>
      <c r="L8" s="162"/>
      <c r="M8" s="162"/>
      <c r="N8" s="162"/>
      <c r="O8" s="162"/>
      <c r="P8" s="162"/>
      <c r="Q8" s="162"/>
      <c r="R8" s="162"/>
      <c r="S8" s="162"/>
      <c r="T8" s="162"/>
      <c r="U8" s="162"/>
      <c r="V8" s="162" t="s">
        <v>735</v>
      </c>
      <c r="W8" s="162"/>
      <c r="X8" s="162"/>
      <c r="Y8" s="287" t="s">
        <v>178</v>
      </c>
      <c r="Z8" s="162"/>
      <c r="AA8" s="162"/>
      <c r="AB8" s="162"/>
      <c r="AC8" s="162"/>
      <c r="AD8" s="162"/>
      <c r="AE8" s="162" t="s">
        <v>875</v>
      </c>
      <c r="AF8" s="162" t="s">
        <v>885</v>
      </c>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row>
    <row r="9" spans="1:251" s="159" customFormat="1" ht="12.75" customHeight="1" x14ac:dyDescent="0.2">
      <c r="A9" s="205" t="s">
        <v>266</v>
      </c>
      <c r="B9" s="163" t="s">
        <v>528</v>
      </c>
      <c r="C9" s="164" t="s">
        <v>528</v>
      </c>
      <c r="D9" s="165" t="s">
        <v>528</v>
      </c>
      <c r="E9" s="288" t="s">
        <v>418</v>
      </c>
      <c r="F9" s="165" t="s">
        <v>418</v>
      </c>
      <c r="G9" s="288" t="s">
        <v>529</v>
      </c>
      <c r="H9" s="288" t="s">
        <v>528</v>
      </c>
      <c r="I9" s="165" t="s">
        <v>1</v>
      </c>
      <c r="J9" s="288" t="s">
        <v>528</v>
      </c>
      <c r="K9" s="288" t="s">
        <v>418</v>
      </c>
      <c r="L9" s="165" t="s">
        <v>419</v>
      </c>
      <c r="M9" s="165" t="s">
        <v>528</v>
      </c>
      <c r="N9" s="160" t="s">
        <v>530</v>
      </c>
      <c r="O9" s="160" t="s">
        <v>714</v>
      </c>
      <c r="P9" s="160" t="s">
        <v>720</v>
      </c>
      <c r="Q9" s="160"/>
      <c r="R9" s="160"/>
      <c r="S9" s="160" t="s">
        <v>528</v>
      </c>
      <c r="T9" s="160" t="s">
        <v>528</v>
      </c>
      <c r="U9" s="160" t="s">
        <v>528</v>
      </c>
      <c r="V9" s="160" t="s">
        <v>528</v>
      </c>
      <c r="W9" s="160"/>
      <c r="X9" s="160" t="s">
        <v>179</v>
      </c>
      <c r="Y9" s="286" t="s">
        <v>180</v>
      </c>
      <c r="AC9" s="160"/>
      <c r="AD9" s="160"/>
      <c r="AE9" s="160"/>
      <c r="BD9" s="160"/>
      <c r="GH9" s="206"/>
      <c r="GI9" s="206"/>
      <c r="GJ9" s="206"/>
      <c r="GK9" s="206"/>
      <c r="GL9" s="206"/>
      <c r="GM9" s="206"/>
      <c r="GN9" s="206"/>
      <c r="GO9" s="206"/>
      <c r="GP9" s="206"/>
      <c r="GQ9" s="206"/>
      <c r="GR9" s="206"/>
      <c r="GS9" s="206"/>
      <c r="GT9" s="206"/>
      <c r="GU9" s="206"/>
      <c r="GV9" s="206"/>
      <c r="GW9" s="206"/>
      <c r="GX9" s="206"/>
      <c r="GY9" s="206"/>
      <c r="GZ9" s="206"/>
      <c r="HA9" s="206"/>
      <c r="HB9" s="206"/>
      <c r="HC9" s="206"/>
      <c r="HD9" s="206"/>
      <c r="HE9" s="206"/>
      <c r="HF9" s="206"/>
      <c r="HG9" s="206"/>
    </row>
    <row r="10" spans="1:251" s="159" customFormat="1" ht="12.75" customHeight="1" x14ac:dyDescent="0.2">
      <c r="A10" s="205" t="s">
        <v>267</v>
      </c>
      <c r="B10" s="160"/>
      <c r="E10" s="286" t="s">
        <v>194</v>
      </c>
      <c r="G10" s="286"/>
      <c r="H10" s="286"/>
      <c r="J10" s="286"/>
      <c r="K10" s="286" t="s">
        <v>194</v>
      </c>
      <c r="P10" s="159" t="s">
        <v>721</v>
      </c>
      <c r="U10" s="160" t="s">
        <v>13</v>
      </c>
      <c r="V10" s="160" t="s">
        <v>14</v>
      </c>
      <c r="X10" s="159" t="s">
        <v>179</v>
      </c>
      <c r="Y10" s="286" t="s">
        <v>508</v>
      </c>
      <c r="GH10" s="206"/>
      <c r="GI10" s="206"/>
      <c r="GJ10" s="206"/>
      <c r="GK10" s="206"/>
      <c r="GL10" s="206"/>
      <c r="GM10" s="206"/>
      <c r="GN10" s="206"/>
      <c r="GO10" s="206"/>
      <c r="GP10" s="206"/>
      <c r="GQ10" s="206"/>
      <c r="GR10" s="206"/>
      <c r="GS10" s="206"/>
      <c r="GT10" s="206"/>
      <c r="GU10" s="206"/>
      <c r="GV10" s="206"/>
      <c r="GW10" s="206"/>
      <c r="GX10" s="206"/>
      <c r="GY10" s="206"/>
      <c r="GZ10" s="206"/>
      <c r="HA10" s="206"/>
      <c r="HB10" s="206"/>
      <c r="HC10" s="206"/>
      <c r="HD10" s="206"/>
      <c r="HE10" s="206"/>
      <c r="HF10" s="206"/>
      <c r="HG10" s="206"/>
    </row>
    <row r="11" spans="1:251" s="161" customFormat="1" ht="12.75" customHeight="1" x14ac:dyDescent="0.2">
      <c r="A11" s="203" t="s">
        <v>268</v>
      </c>
      <c r="E11" s="287" t="s">
        <v>195</v>
      </c>
      <c r="G11" s="287"/>
      <c r="H11" s="287"/>
      <c r="J11" s="287"/>
      <c r="K11" s="287"/>
      <c r="P11" s="161" t="s">
        <v>722</v>
      </c>
      <c r="T11" s="161" t="s">
        <v>727</v>
      </c>
      <c r="W11" s="161" t="s">
        <v>736</v>
      </c>
      <c r="X11" s="161" t="s">
        <v>181</v>
      </c>
      <c r="Y11" s="287" t="s">
        <v>182</v>
      </c>
      <c r="AD11" s="161" t="s">
        <v>851</v>
      </c>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row>
    <row r="12" spans="1:251" s="161" customFormat="1" ht="12.75" customHeight="1" x14ac:dyDescent="0.2">
      <c r="A12" s="203" t="s">
        <v>269</v>
      </c>
      <c r="E12" s="287"/>
      <c r="G12" s="287"/>
      <c r="H12" s="287"/>
      <c r="J12" s="287"/>
      <c r="K12" s="287" t="s">
        <v>198</v>
      </c>
      <c r="X12" s="161" t="s">
        <v>183</v>
      </c>
      <c r="Y12" s="287" t="s">
        <v>184</v>
      </c>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row>
    <row r="13" spans="1:251" s="159" customFormat="1" ht="12.75" customHeight="1" x14ac:dyDescent="0.2">
      <c r="A13" s="205" t="s">
        <v>270</v>
      </c>
      <c r="E13" s="286"/>
      <c r="G13" s="286"/>
      <c r="H13" s="286"/>
      <c r="J13" s="286"/>
      <c r="K13" s="286"/>
      <c r="P13" s="159" t="s">
        <v>723</v>
      </c>
      <c r="Y13" s="286"/>
      <c r="GH13" s="206"/>
      <c r="GI13" s="206"/>
      <c r="GJ13" s="206"/>
      <c r="GK13" s="206"/>
      <c r="GL13" s="206"/>
      <c r="GM13" s="206"/>
      <c r="GN13" s="206"/>
      <c r="GO13" s="206"/>
      <c r="GP13" s="206"/>
      <c r="GQ13" s="206"/>
      <c r="GR13" s="206"/>
      <c r="GS13" s="206"/>
      <c r="GT13" s="206"/>
      <c r="GU13" s="206"/>
      <c r="GV13" s="206"/>
      <c r="GW13" s="206"/>
      <c r="GX13" s="206"/>
      <c r="GY13" s="206"/>
      <c r="GZ13" s="206"/>
      <c r="HA13" s="206"/>
      <c r="HB13" s="206"/>
      <c r="HC13" s="206"/>
      <c r="HD13" s="206"/>
      <c r="HE13" s="206"/>
      <c r="HF13" s="206"/>
      <c r="HG13" s="206"/>
    </row>
    <row r="14" spans="1:251" s="159" customFormat="1" ht="12.75" customHeight="1" x14ac:dyDescent="0.2">
      <c r="A14" s="205" t="s">
        <v>271</v>
      </c>
      <c r="E14" s="286"/>
      <c r="G14" s="286"/>
      <c r="H14" s="286"/>
      <c r="J14" s="286"/>
      <c r="K14" s="286"/>
      <c r="O14" s="159" t="s">
        <v>715</v>
      </c>
      <c r="P14" s="159" t="s">
        <v>724</v>
      </c>
      <c r="Y14" s="286"/>
      <c r="GH14" s="206"/>
      <c r="GI14" s="206"/>
      <c r="GJ14" s="206"/>
      <c r="GK14" s="206"/>
      <c r="GL14" s="206"/>
      <c r="GM14" s="206"/>
      <c r="GN14" s="206"/>
      <c r="GO14" s="206"/>
      <c r="GP14" s="206"/>
      <c r="GQ14" s="206"/>
      <c r="GR14" s="206"/>
      <c r="GS14" s="206"/>
      <c r="GT14" s="206"/>
      <c r="GU14" s="206"/>
      <c r="GV14" s="206"/>
      <c r="GW14" s="206"/>
      <c r="GX14" s="206"/>
      <c r="GY14" s="206"/>
      <c r="GZ14" s="206"/>
      <c r="HA14" s="206"/>
      <c r="HB14" s="206"/>
      <c r="HC14" s="206"/>
      <c r="HD14" s="206"/>
      <c r="HE14" s="206"/>
      <c r="HF14" s="206"/>
      <c r="HG14" s="206"/>
    </row>
    <row r="15" spans="1:251" s="101" customFormat="1" ht="12.75" customHeight="1" x14ac:dyDescent="0.2">
      <c r="A15" s="203" t="s">
        <v>272</v>
      </c>
      <c r="E15" s="286"/>
      <c r="G15" s="286"/>
      <c r="H15" s="286"/>
      <c r="J15" s="286"/>
      <c r="K15" s="286"/>
      <c r="T15" s="101" t="s">
        <v>728</v>
      </c>
      <c r="W15" s="101" t="s">
        <v>737</v>
      </c>
      <c r="X15" s="101" t="s">
        <v>185</v>
      </c>
      <c r="Y15" s="286"/>
      <c r="AD15" s="101" t="s">
        <v>852</v>
      </c>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row>
    <row r="16" spans="1:251" s="161" customFormat="1" ht="12.75" customHeight="1" x14ac:dyDescent="0.2">
      <c r="A16" s="203" t="s">
        <v>273</v>
      </c>
      <c r="E16" s="287"/>
      <c r="G16" s="287"/>
      <c r="H16" s="287"/>
      <c r="J16" s="287"/>
      <c r="K16" s="287"/>
      <c r="T16" s="161" t="s">
        <v>729</v>
      </c>
      <c r="W16" s="161" t="s">
        <v>738</v>
      </c>
      <c r="X16" s="161" t="s">
        <v>186</v>
      </c>
      <c r="Y16" s="287"/>
      <c r="AD16" s="161" t="s">
        <v>853</v>
      </c>
      <c r="CH16" s="101"/>
      <c r="GH16" s="208"/>
      <c r="GI16" s="208"/>
      <c r="GJ16" s="208"/>
      <c r="GK16" s="208"/>
      <c r="GL16" s="208"/>
      <c r="GM16" s="208"/>
      <c r="GN16" s="208"/>
      <c r="GO16" s="208"/>
      <c r="GP16" s="208"/>
      <c r="GQ16" s="208"/>
      <c r="GR16" s="208"/>
      <c r="GS16" s="208"/>
      <c r="GT16" s="208"/>
      <c r="GU16" s="208"/>
      <c r="GV16" s="208"/>
      <c r="GW16" s="208"/>
      <c r="GX16" s="208"/>
      <c r="GY16" s="208"/>
      <c r="GZ16" s="208"/>
      <c r="HA16" s="208"/>
      <c r="HB16" s="208"/>
      <c r="HC16" s="208"/>
      <c r="HD16" s="208"/>
      <c r="HE16" s="208"/>
      <c r="HF16" s="208"/>
      <c r="HG16" s="208"/>
    </row>
    <row r="17" spans="1:215" s="166" customFormat="1" ht="12.75" customHeight="1" x14ac:dyDescent="0.2">
      <c r="A17" s="205" t="s">
        <v>274</v>
      </c>
      <c r="E17" s="287"/>
      <c r="G17" s="287"/>
      <c r="H17" s="287"/>
      <c r="J17" s="287"/>
      <c r="K17" s="287"/>
      <c r="W17" s="166" t="s">
        <v>739</v>
      </c>
      <c r="Y17" s="287"/>
      <c r="GH17" s="209"/>
      <c r="GI17" s="209"/>
      <c r="GJ17" s="209"/>
      <c r="GK17" s="209"/>
      <c r="GL17" s="209"/>
      <c r="GM17" s="209"/>
      <c r="GN17" s="209"/>
      <c r="GO17" s="209"/>
      <c r="GP17" s="209"/>
      <c r="GQ17" s="209"/>
      <c r="GR17" s="209"/>
      <c r="GS17" s="209"/>
      <c r="GT17" s="209"/>
      <c r="GU17" s="209"/>
      <c r="GV17" s="209"/>
      <c r="GW17" s="209"/>
      <c r="GX17" s="209"/>
      <c r="GY17" s="209"/>
      <c r="GZ17" s="209"/>
      <c r="HA17" s="209"/>
      <c r="HB17" s="209"/>
      <c r="HC17" s="209"/>
      <c r="HD17" s="209"/>
      <c r="HE17" s="209"/>
      <c r="HF17" s="209"/>
      <c r="HG17" s="209"/>
    </row>
    <row r="18" spans="1:215" s="166" customFormat="1" ht="12.75" customHeight="1" x14ac:dyDescent="0.2">
      <c r="A18" s="205" t="s">
        <v>279</v>
      </c>
      <c r="E18" s="287" t="s">
        <v>196</v>
      </c>
      <c r="G18" s="287"/>
      <c r="H18" s="287"/>
      <c r="J18" s="287"/>
      <c r="K18" s="287" t="s">
        <v>196</v>
      </c>
      <c r="Y18" s="287"/>
      <c r="GH18" s="209"/>
      <c r="GI18" s="209"/>
      <c r="GJ18" s="209"/>
      <c r="GK18" s="209"/>
      <c r="GL18" s="209"/>
      <c r="GM18" s="209"/>
      <c r="GN18" s="209"/>
      <c r="GO18" s="209"/>
      <c r="GP18" s="209"/>
      <c r="GQ18" s="209"/>
      <c r="GR18" s="209"/>
      <c r="GS18" s="209"/>
      <c r="GT18" s="209"/>
      <c r="GU18" s="209"/>
      <c r="GV18" s="209"/>
      <c r="GW18" s="209"/>
      <c r="GX18" s="209"/>
      <c r="GY18" s="209"/>
      <c r="GZ18" s="209"/>
      <c r="HA18" s="209"/>
      <c r="HB18" s="209"/>
      <c r="HC18" s="209"/>
      <c r="HD18" s="209"/>
      <c r="HE18" s="209"/>
      <c r="HF18" s="209"/>
      <c r="HG18" s="209"/>
    </row>
    <row r="19" spans="1:215" s="101" customFormat="1" ht="12.75" customHeight="1" x14ac:dyDescent="0.2">
      <c r="A19" s="203" t="s">
        <v>275</v>
      </c>
      <c r="E19" s="286"/>
      <c r="G19" s="286"/>
      <c r="H19" s="286"/>
      <c r="J19" s="286"/>
      <c r="K19" s="286"/>
      <c r="Y19" s="286"/>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row>
    <row r="20" spans="1:215" s="211" customFormat="1" ht="38.25" x14ac:dyDescent="0.2">
      <c r="A20" s="210" t="s">
        <v>276</v>
      </c>
      <c r="B20" s="61"/>
      <c r="C20" s="167"/>
      <c r="D20" s="168" t="s">
        <v>686</v>
      </c>
      <c r="E20" s="289" t="s">
        <v>197</v>
      </c>
      <c r="F20" s="167"/>
      <c r="G20" s="292"/>
      <c r="H20" s="293" t="s">
        <v>835</v>
      </c>
      <c r="I20" s="167"/>
      <c r="J20" s="293" t="s">
        <v>0</v>
      </c>
      <c r="K20" s="289" t="s">
        <v>197</v>
      </c>
      <c r="L20" s="168"/>
      <c r="M20" s="167"/>
      <c r="N20" s="168"/>
      <c r="O20" s="169"/>
      <c r="P20" s="169"/>
      <c r="Q20" s="168"/>
      <c r="R20" s="168"/>
      <c r="S20" s="168" t="s">
        <v>10</v>
      </c>
      <c r="T20" s="168"/>
      <c r="U20" s="168"/>
      <c r="V20" s="168"/>
      <c r="W20" s="168"/>
      <c r="X20" s="168" t="s">
        <v>187</v>
      </c>
      <c r="Y20" s="293" t="s">
        <v>188</v>
      </c>
      <c r="Z20" s="168" t="s">
        <v>64</v>
      </c>
      <c r="AA20" s="168" t="s">
        <v>69</v>
      </c>
      <c r="AB20" s="168" t="s">
        <v>73</v>
      </c>
      <c r="AC20" s="283" t="s">
        <v>78</v>
      </c>
      <c r="AD20" s="283" t="s">
        <v>90</v>
      </c>
      <c r="AE20" s="283" t="s">
        <v>152</v>
      </c>
      <c r="AF20" s="168"/>
      <c r="AG20" s="168" t="s">
        <v>1118</v>
      </c>
      <c r="AH20" s="168" t="s">
        <v>1140</v>
      </c>
      <c r="AI20" s="168" t="s">
        <v>1140</v>
      </c>
      <c r="AJ20" s="168"/>
      <c r="AK20" s="168"/>
      <c r="AL20" s="168"/>
      <c r="AM20" s="168"/>
      <c r="AN20" s="168"/>
      <c r="AO20" s="168"/>
      <c r="AP20" s="168"/>
      <c r="AQ20" s="168"/>
      <c r="AR20" s="168"/>
      <c r="AS20" s="168"/>
      <c r="AT20" s="168"/>
      <c r="AU20" s="168"/>
      <c r="AV20" s="168"/>
      <c r="AW20" s="168"/>
      <c r="AX20" s="168"/>
      <c r="AY20" s="169"/>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9"/>
      <c r="BV20" s="169"/>
      <c r="BW20" s="169"/>
      <c r="BX20" s="169"/>
      <c r="BY20" s="169"/>
      <c r="BZ20" s="169"/>
      <c r="CA20" s="169"/>
      <c r="CB20" s="169"/>
      <c r="CC20" s="168"/>
      <c r="CD20" s="168"/>
      <c r="CE20" s="168"/>
      <c r="CF20" s="168"/>
      <c r="CG20" s="168"/>
      <c r="CH20" s="168"/>
      <c r="CI20" s="168"/>
      <c r="CJ20" s="168"/>
      <c r="CK20" s="168"/>
      <c r="CL20" s="168"/>
      <c r="CM20" s="168"/>
      <c r="CN20" s="168"/>
      <c r="CO20" s="169"/>
      <c r="CP20" s="168"/>
      <c r="CQ20" s="168"/>
      <c r="CR20" s="169"/>
      <c r="CS20" s="168"/>
      <c r="CT20" s="168"/>
      <c r="CU20" s="168"/>
      <c r="CV20" s="168"/>
      <c r="CW20" s="168"/>
      <c r="CX20" s="168"/>
      <c r="CY20" s="168"/>
      <c r="CZ20" s="168"/>
      <c r="DA20" s="169"/>
      <c r="DB20" s="168"/>
      <c r="DC20" s="168"/>
      <c r="DD20" s="168"/>
      <c r="DE20" s="168"/>
      <c r="DF20" s="168"/>
      <c r="DG20" s="168"/>
      <c r="DH20" s="168"/>
      <c r="DI20" s="168"/>
      <c r="DJ20" s="168"/>
      <c r="DK20" s="168"/>
      <c r="DL20" s="168"/>
      <c r="DM20" s="168"/>
      <c r="DN20" s="168"/>
      <c r="DO20" s="168"/>
      <c r="DP20" s="168"/>
      <c r="DQ20" s="168"/>
      <c r="DR20" s="168"/>
      <c r="DS20" s="168"/>
      <c r="DT20" s="168"/>
      <c r="DU20" s="168"/>
      <c r="DV20" s="168"/>
      <c r="DW20" s="168"/>
      <c r="DX20" s="168"/>
      <c r="DY20" s="168"/>
      <c r="DZ20" s="169"/>
      <c r="EA20" s="169"/>
      <c r="EB20" s="169"/>
      <c r="EC20" s="169"/>
      <c r="ED20" s="169"/>
      <c r="EE20" s="169"/>
      <c r="EF20" s="169"/>
      <c r="EG20" s="169"/>
      <c r="EH20" s="169"/>
      <c r="EI20" s="169"/>
      <c r="EJ20" s="169"/>
      <c r="EK20" s="169"/>
      <c r="EL20" s="169"/>
      <c r="EM20" s="169"/>
      <c r="EN20" s="169"/>
      <c r="EP20" s="169"/>
      <c r="EQ20" s="169"/>
      <c r="ER20" s="169"/>
      <c r="ES20" s="169"/>
      <c r="ET20" s="169"/>
      <c r="EU20" s="169"/>
      <c r="EV20" s="169"/>
      <c r="EW20" s="169"/>
      <c r="EX20" s="169"/>
      <c r="EY20" s="169"/>
      <c r="EZ20" s="169"/>
      <c r="FA20" s="169"/>
      <c r="FB20" s="169"/>
      <c r="FC20" s="169"/>
      <c r="FD20" s="169"/>
      <c r="FE20" s="169"/>
      <c r="FF20" s="169"/>
      <c r="FG20" s="169"/>
      <c r="FH20" s="169"/>
      <c r="FI20" s="169"/>
      <c r="FJ20" s="169"/>
      <c r="FK20" s="169"/>
      <c r="FL20" s="169"/>
      <c r="FM20" s="169"/>
      <c r="FN20" s="169"/>
      <c r="FO20" s="169"/>
      <c r="FP20" s="169"/>
      <c r="FQ20" s="169"/>
      <c r="FR20" s="169"/>
      <c r="FS20" s="169"/>
      <c r="FT20" s="169"/>
      <c r="FU20" s="169"/>
      <c r="FV20" s="169"/>
      <c r="FW20" s="169"/>
      <c r="FX20" s="169"/>
      <c r="FY20" s="169"/>
      <c r="FZ20" s="169"/>
      <c r="GA20" s="169"/>
      <c r="GB20" s="169"/>
      <c r="GC20" s="169"/>
      <c r="GD20" s="169"/>
      <c r="GE20" s="169"/>
      <c r="GF20" s="169"/>
      <c r="GG20" s="169"/>
      <c r="GH20" s="212"/>
      <c r="GI20" s="204"/>
      <c r="GJ20" s="212"/>
      <c r="GK20" s="204"/>
      <c r="GL20" s="204"/>
      <c r="GM20" s="204"/>
      <c r="GN20" s="212"/>
      <c r="GO20" s="212"/>
      <c r="GP20" s="212"/>
      <c r="GQ20" s="204"/>
      <c r="GR20" s="212"/>
      <c r="GS20" s="212"/>
      <c r="GT20" s="212"/>
      <c r="GU20" s="213"/>
      <c r="GV20" s="212"/>
      <c r="GW20" s="212"/>
      <c r="GX20" s="212"/>
      <c r="GY20" s="212"/>
      <c r="GZ20" s="212"/>
      <c r="HA20" s="212"/>
      <c r="HB20" s="212"/>
      <c r="HC20" s="212"/>
      <c r="HD20" s="212"/>
      <c r="HE20" s="213"/>
      <c r="HF20" s="212"/>
      <c r="HG20" s="212"/>
    </row>
    <row r="21" spans="1:215" s="170" customFormat="1" ht="25.5" x14ac:dyDescent="0.2">
      <c r="A21" s="171" t="s">
        <v>358</v>
      </c>
      <c r="B21" s="100"/>
      <c r="C21" s="100"/>
      <c r="D21" s="100">
        <v>40161</v>
      </c>
      <c r="E21" s="290">
        <v>41001</v>
      </c>
      <c r="F21" s="100"/>
      <c r="G21" s="290"/>
      <c r="H21" s="290">
        <v>40214</v>
      </c>
      <c r="I21" s="100"/>
      <c r="J21" s="290">
        <v>40214</v>
      </c>
      <c r="K21" s="290"/>
      <c r="L21" s="100"/>
      <c r="M21" s="100"/>
      <c r="N21" s="100"/>
      <c r="Q21" s="100"/>
      <c r="R21" s="100"/>
      <c r="S21" s="100">
        <v>40214</v>
      </c>
      <c r="T21" s="100"/>
      <c r="U21" s="100"/>
      <c r="V21" s="100"/>
      <c r="W21" s="100"/>
      <c r="X21" s="100">
        <v>40163</v>
      </c>
      <c r="Y21" s="290">
        <v>40163</v>
      </c>
      <c r="Z21" s="100">
        <v>41033</v>
      </c>
      <c r="AA21" s="100">
        <v>41033</v>
      </c>
      <c r="AB21" s="100">
        <v>41033</v>
      </c>
      <c r="AC21" s="100">
        <v>41033</v>
      </c>
      <c r="AD21" s="100">
        <v>41033</v>
      </c>
      <c r="AE21" s="100">
        <v>41033</v>
      </c>
      <c r="AF21" s="100"/>
      <c r="AG21" s="100">
        <v>41988</v>
      </c>
      <c r="AH21" s="100"/>
      <c r="AI21" s="100"/>
      <c r="AJ21" s="100"/>
      <c r="AK21" s="100"/>
      <c r="AL21" s="100"/>
      <c r="AM21" s="100"/>
      <c r="AN21" s="100"/>
      <c r="AO21" s="100"/>
      <c r="AP21" s="100"/>
      <c r="AQ21" s="100"/>
      <c r="AR21" s="100"/>
      <c r="AS21" s="100"/>
      <c r="AT21" s="100"/>
      <c r="AU21" s="100"/>
      <c r="AV21" s="100"/>
      <c r="AW21" s="100"/>
      <c r="AX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CC21" s="100"/>
      <c r="CD21" s="100"/>
      <c r="CE21" s="100"/>
      <c r="CF21" s="100"/>
      <c r="CG21" s="100"/>
      <c r="CH21" s="100"/>
      <c r="CI21" s="100"/>
      <c r="CJ21" s="100"/>
      <c r="CK21" s="100"/>
      <c r="CL21" s="100"/>
      <c r="CM21" s="100"/>
      <c r="CN21" s="100"/>
      <c r="CP21" s="100"/>
      <c r="CQ21" s="100"/>
      <c r="CS21" s="100"/>
      <c r="CT21" s="100"/>
      <c r="CU21" s="100"/>
      <c r="CV21" s="100"/>
      <c r="CW21" s="100"/>
      <c r="CX21" s="100"/>
      <c r="CY21" s="100"/>
      <c r="CZ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GH21" s="214"/>
      <c r="GI21" s="215"/>
      <c r="GJ21" s="214"/>
      <c r="GK21" s="215"/>
      <c r="GL21" s="215"/>
      <c r="GM21" s="215"/>
      <c r="GN21" s="214"/>
      <c r="GO21" s="214"/>
      <c r="GP21" s="214"/>
      <c r="GQ21" s="215"/>
      <c r="GR21" s="214"/>
      <c r="GS21" s="214"/>
      <c r="GT21" s="214"/>
      <c r="GU21" s="214"/>
      <c r="GV21" s="214"/>
      <c r="GW21" s="214"/>
      <c r="GX21" s="214"/>
      <c r="GY21" s="214"/>
      <c r="GZ21" s="214"/>
      <c r="HA21" s="214"/>
      <c r="HB21" s="214"/>
      <c r="HC21" s="214"/>
      <c r="HD21" s="214"/>
      <c r="HE21" s="214"/>
      <c r="HF21" s="214"/>
      <c r="HG21" s="214"/>
    </row>
    <row r="22" spans="1:215" s="159" customFormat="1" ht="12.75" customHeight="1" x14ac:dyDescent="0.2">
      <c r="A22" s="205" t="s">
        <v>204</v>
      </c>
      <c r="B22" s="160" t="s">
        <v>254</v>
      </c>
      <c r="C22" s="159" t="s">
        <v>254</v>
      </c>
      <c r="D22" s="159" t="s">
        <v>256</v>
      </c>
      <c r="E22" s="286" t="s">
        <v>254</v>
      </c>
      <c r="F22" s="159" t="s">
        <v>253</v>
      </c>
      <c r="G22" s="286" t="s">
        <v>256</v>
      </c>
      <c r="H22" s="286" t="s">
        <v>256</v>
      </c>
      <c r="I22" s="159" t="s">
        <v>253</v>
      </c>
      <c r="J22" s="286" t="s">
        <v>256</v>
      </c>
      <c r="K22" s="286" t="s">
        <v>254</v>
      </c>
      <c r="L22" s="159" t="s">
        <v>254</v>
      </c>
      <c r="M22" s="159" t="s">
        <v>254</v>
      </c>
      <c r="N22" s="159" t="s">
        <v>254</v>
      </c>
      <c r="O22" s="159" t="s">
        <v>254</v>
      </c>
      <c r="P22" s="159" t="s">
        <v>254</v>
      </c>
      <c r="Q22" s="159" t="s">
        <v>254</v>
      </c>
      <c r="R22" s="159" t="s">
        <v>254</v>
      </c>
      <c r="S22" s="159" t="s">
        <v>254</v>
      </c>
      <c r="T22" s="159" t="s">
        <v>254</v>
      </c>
      <c r="U22" s="159" t="s">
        <v>254</v>
      </c>
      <c r="V22" s="159" t="s">
        <v>254</v>
      </c>
      <c r="W22" s="159" t="s">
        <v>740</v>
      </c>
      <c r="X22" s="159" t="s">
        <v>254</v>
      </c>
      <c r="Y22" s="286" t="s">
        <v>254</v>
      </c>
      <c r="Z22" s="160" t="s">
        <v>256</v>
      </c>
      <c r="AA22" s="160" t="s">
        <v>254</v>
      </c>
      <c r="AB22" s="160" t="s">
        <v>254</v>
      </c>
      <c r="AC22" s="160" t="s">
        <v>256</v>
      </c>
      <c r="AD22" s="160" t="s">
        <v>254</v>
      </c>
      <c r="AE22" s="160" t="s">
        <v>254</v>
      </c>
      <c r="AF22" s="160" t="s">
        <v>256</v>
      </c>
      <c r="AG22" s="160" t="s">
        <v>254</v>
      </c>
      <c r="GH22" s="206"/>
      <c r="GI22" s="206"/>
      <c r="GJ22" s="206"/>
      <c r="GK22" s="206"/>
      <c r="GL22" s="206"/>
      <c r="GM22" s="206"/>
      <c r="GN22" s="206"/>
      <c r="GO22" s="206"/>
      <c r="GP22" s="206"/>
      <c r="GQ22" s="206"/>
      <c r="GR22" s="206"/>
      <c r="GS22" s="206"/>
      <c r="GT22" s="206"/>
      <c r="GU22" s="206"/>
      <c r="GV22" s="206"/>
      <c r="GW22" s="206"/>
      <c r="GX22" s="206"/>
      <c r="GY22" s="206"/>
      <c r="GZ22" s="206"/>
      <c r="HA22" s="206"/>
      <c r="HB22" s="206"/>
      <c r="HC22" s="206"/>
      <c r="HD22" s="206"/>
      <c r="HE22" s="206"/>
      <c r="HF22" s="206"/>
      <c r="HG22" s="206"/>
    </row>
    <row r="23" spans="1:215" s="161" customFormat="1" ht="25.5" x14ac:dyDescent="0.2">
      <c r="A23" s="203" t="s">
        <v>199</v>
      </c>
      <c r="B23" s="101">
        <v>2009</v>
      </c>
      <c r="C23" s="101" t="s">
        <v>519</v>
      </c>
      <c r="D23" s="101" t="s">
        <v>519</v>
      </c>
      <c r="E23" s="286">
        <v>2010</v>
      </c>
      <c r="F23" s="101" t="s">
        <v>531</v>
      </c>
      <c r="G23" s="286" t="s">
        <v>521</v>
      </c>
      <c r="H23" s="286" t="s">
        <v>532</v>
      </c>
      <c r="I23" s="101" t="s">
        <v>520</v>
      </c>
      <c r="J23" s="286">
        <v>2009</v>
      </c>
      <c r="K23" s="286">
        <v>2010</v>
      </c>
      <c r="L23" s="101" t="s">
        <v>417</v>
      </c>
      <c r="M23" s="101">
        <v>2004</v>
      </c>
      <c r="N23" s="161" t="s">
        <v>522</v>
      </c>
      <c r="O23" s="161" t="s">
        <v>709</v>
      </c>
      <c r="P23" s="162" t="s">
        <v>534</v>
      </c>
      <c r="Q23" s="161" t="s">
        <v>525</v>
      </c>
      <c r="R23" s="161" t="s">
        <v>417</v>
      </c>
      <c r="S23" s="161" t="s">
        <v>533</v>
      </c>
      <c r="T23" s="161" t="s">
        <v>523</v>
      </c>
      <c r="U23" s="161" t="s">
        <v>524</v>
      </c>
      <c r="V23" s="161" t="s">
        <v>520</v>
      </c>
      <c r="W23" s="161" t="s">
        <v>520</v>
      </c>
      <c r="X23" s="161" t="s">
        <v>521</v>
      </c>
      <c r="Y23" s="287" t="s">
        <v>177</v>
      </c>
      <c r="Z23" s="161" t="s">
        <v>417</v>
      </c>
      <c r="AA23" s="161" t="s">
        <v>854</v>
      </c>
      <c r="AC23" s="162"/>
      <c r="AD23" s="162"/>
      <c r="AE23" s="162"/>
      <c r="GH23" s="208"/>
      <c r="GI23" s="208"/>
      <c r="GJ23" s="208"/>
      <c r="GK23" s="208"/>
      <c r="GL23" s="208"/>
      <c r="GM23" s="208"/>
      <c r="GN23" s="208"/>
      <c r="GO23" s="208"/>
      <c r="GP23" s="208"/>
      <c r="GQ23" s="208"/>
      <c r="GR23" s="208"/>
      <c r="GS23" s="208"/>
      <c r="GT23" s="208"/>
      <c r="GU23" s="208"/>
      <c r="GV23" s="208"/>
      <c r="GW23" s="208"/>
      <c r="GX23" s="208"/>
      <c r="GY23" s="208"/>
      <c r="GZ23" s="208"/>
      <c r="HA23" s="208"/>
      <c r="HB23" s="208"/>
      <c r="HC23" s="208"/>
      <c r="HD23" s="208"/>
      <c r="HE23" s="208"/>
      <c r="HF23" s="208"/>
      <c r="HG23" s="208"/>
    </row>
    <row r="24" spans="1:215" s="161" customFormat="1" ht="25.5" x14ac:dyDescent="0.2">
      <c r="A24" s="203" t="s">
        <v>200</v>
      </c>
      <c r="B24" s="158" t="s">
        <v>353</v>
      </c>
      <c r="C24" s="101" t="s">
        <v>353</v>
      </c>
      <c r="D24" s="101" t="s">
        <v>353</v>
      </c>
      <c r="E24" s="286" t="s">
        <v>353</v>
      </c>
      <c r="F24" s="101" t="s">
        <v>353</v>
      </c>
      <c r="G24" s="286" t="s">
        <v>353</v>
      </c>
      <c r="H24" s="286" t="s">
        <v>353</v>
      </c>
      <c r="I24" s="101" t="s">
        <v>353</v>
      </c>
      <c r="J24" s="286" t="s">
        <v>353</v>
      </c>
      <c r="K24" s="286" t="s">
        <v>353</v>
      </c>
      <c r="L24" s="158" t="s">
        <v>353</v>
      </c>
      <c r="M24" s="101" t="s">
        <v>353</v>
      </c>
      <c r="N24" s="162" t="s">
        <v>832</v>
      </c>
      <c r="O24" s="162" t="s">
        <v>353</v>
      </c>
      <c r="P24" s="161" t="s">
        <v>725</v>
      </c>
      <c r="Q24" s="162" t="s">
        <v>353</v>
      </c>
      <c r="R24" s="161" t="s">
        <v>353</v>
      </c>
      <c r="S24" s="162" t="s">
        <v>353</v>
      </c>
      <c r="T24" s="162" t="s">
        <v>353</v>
      </c>
      <c r="U24" s="162" t="s">
        <v>353</v>
      </c>
      <c r="V24" s="161" t="s">
        <v>353</v>
      </c>
      <c r="W24" s="161" t="s">
        <v>741</v>
      </c>
      <c r="X24" s="161" t="s">
        <v>353</v>
      </c>
      <c r="Y24" s="287" t="s">
        <v>189</v>
      </c>
      <c r="Z24" s="162" t="s">
        <v>855</v>
      </c>
      <c r="AA24" s="162" t="s">
        <v>855</v>
      </c>
      <c r="AB24" s="162" t="s">
        <v>855</v>
      </c>
      <c r="AC24" s="282" t="s">
        <v>353</v>
      </c>
      <c r="AD24" s="282" t="s">
        <v>855</v>
      </c>
      <c r="AE24" s="282" t="s">
        <v>855</v>
      </c>
      <c r="AF24" s="162" t="s">
        <v>886</v>
      </c>
      <c r="AG24" s="161" t="s">
        <v>1116</v>
      </c>
      <c r="AH24" s="161" t="s">
        <v>353</v>
      </c>
      <c r="AI24" s="161" t="s">
        <v>353</v>
      </c>
      <c r="GH24" s="208"/>
      <c r="GI24" s="208"/>
      <c r="GJ24" s="208"/>
      <c r="GK24" s="208"/>
      <c r="GL24" s="208"/>
      <c r="GM24" s="208"/>
      <c r="GN24" s="208"/>
      <c r="GO24" s="208"/>
      <c r="GP24" s="208"/>
      <c r="GQ24" s="208"/>
      <c r="GR24" s="208"/>
      <c r="GS24" s="208"/>
      <c r="GT24" s="208"/>
      <c r="GU24" s="208"/>
      <c r="GV24" s="208"/>
      <c r="GW24" s="208"/>
      <c r="GX24" s="208"/>
      <c r="GY24" s="208"/>
      <c r="GZ24" s="208"/>
      <c r="HA24" s="208"/>
      <c r="HB24" s="208"/>
      <c r="HC24" s="208"/>
      <c r="HD24" s="208"/>
      <c r="HE24" s="208"/>
      <c r="HF24" s="208"/>
      <c r="HG24" s="208"/>
    </row>
    <row r="25" spans="1:215" s="159" customFormat="1" ht="25.5" x14ac:dyDescent="0.2">
      <c r="A25" s="205" t="s">
        <v>201</v>
      </c>
      <c r="B25" s="160" t="s">
        <v>828</v>
      </c>
      <c r="C25" s="160" t="s">
        <v>828</v>
      </c>
      <c r="D25" s="160" t="s">
        <v>829</v>
      </c>
      <c r="E25" s="286" t="s">
        <v>420</v>
      </c>
      <c r="F25" s="159" t="s">
        <v>535</v>
      </c>
      <c r="G25" s="286" t="s">
        <v>536</v>
      </c>
      <c r="H25" s="286" t="s">
        <v>537</v>
      </c>
      <c r="J25" s="286" t="s">
        <v>538</v>
      </c>
      <c r="K25" s="286" t="s">
        <v>420</v>
      </c>
      <c r="L25" s="160" t="s">
        <v>830</v>
      </c>
      <c r="M25" s="160" t="s">
        <v>828</v>
      </c>
      <c r="N25" s="159" t="s">
        <v>539</v>
      </c>
      <c r="O25" s="160" t="s">
        <v>831</v>
      </c>
      <c r="P25" s="159" t="s">
        <v>726</v>
      </c>
      <c r="Q25" s="160" t="s">
        <v>833</v>
      </c>
      <c r="R25" s="159" t="s">
        <v>540</v>
      </c>
      <c r="S25" s="160" t="s">
        <v>833</v>
      </c>
      <c r="T25" s="160" t="s">
        <v>833</v>
      </c>
      <c r="U25" s="160" t="s">
        <v>541</v>
      </c>
      <c r="V25" s="160" t="s">
        <v>761</v>
      </c>
      <c r="W25" s="159" t="s">
        <v>742</v>
      </c>
      <c r="Y25" s="286"/>
      <c r="Z25" s="160" t="s">
        <v>855</v>
      </c>
      <c r="AA25" s="160" t="s">
        <v>855</v>
      </c>
      <c r="AB25" s="160" t="s">
        <v>855</v>
      </c>
      <c r="AC25" s="281" t="s">
        <v>353</v>
      </c>
      <c r="AD25" s="281" t="s">
        <v>855</v>
      </c>
      <c r="AE25" s="281" t="s">
        <v>855</v>
      </c>
      <c r="AF25" s="160" t="s">
        <v>886</v>
      </c>
      <c r="AG25" s="159" t="s">
        <v>1116</v>
      </c>
      <c r="GH25" s="206"/>
      <c r="GI25" s="206"/>
      <c r="GJ25" s="206"/>
      <c r="GK25" s="206"/>
      <c r="GL25" s="206"/>
      <c r="GM25" s="206"/>
      <c r="GN25" s="206"/>
      <c r="GO25" s="206"/>
      <c r="GP25" s="206"/>
      <c r="GQ25" s="206"/>
      <c r="GR25" s="206"/>
      <c r="GS25" s="206"/>
      <c r="GT25" s="206"/>
      <c r="GU25" s="206"/>
      <c r="GV25" s="206"/>
      <c r="GW25" s="206"/>
      <c r="GX25" s="206"/>
      <c r="GY25" s="206"/>
      <c r="GZ25" s="206"/>
      <c r="HA25" s="206"/>
      <c r="HB25" s="206"/>
      <c r="HC25" s="206"/>
      <c r="HD25" s="206"/>
      <c r="HE25" s="206"/>
      <c r="HF25" s="206"/>
      <c r="HG25" s="206"/>
    </row>
    <row r="26" spans="1:215" s="159" customFormat="1" ht="216.75" x14ac:dyDescent="0.2">
      <c r="A26" s="159" t="s">
        <v>202</v>
      </c>
      <c r="B26" s="171" t="s">
        <v>683</v>
      </c>
      <c r="C26" s="171" t="s">
        <v>684</v>
      </c>
      <c r="D26" s="171" t="s">
        <v>685</v>
      </c>
      <c r="E26" s="291" t="s">
        <v>907</v>
      </c>
      <c r="F26" s="171" t="s">
        <v>687</v>
      </c>
      <c r="G26" s="291" t="s">
        <v>908</v>
      </c>
      <c r="H26" s="291" t="s">
        <v>909</v>
      </c>
      <c r="I26" s="171" t="s">
        <v>836</v>
      </c>
      <c r="J26" s="291" t="s">
        <v>911</v>
      </c>
      <c r="K26" s="291" t="s">
        <v>912</v>
      </c>
      <c r="L26" s="171" t="s">
        <v>2</v>
      </c>
      <c r="M26" s="171" t="s">
        <v>3</v>
      </c>
      <c r="N26" s="160" t="s">
        <v>4</v>
      </c>
      <c r="O26" s="160" t="s">
        <v>5</v>
      </c>
      <c r="P26" s="160" t="s">
        <v>6</v>
      </c>
      <c r="Q26" s="160" t="s">
        <v>7</v>
      </c>
      <c r="R26" s="160" t="s">
        <v>8</v>
      </c>
      <c r="S26" s="160" t="s">
        <v>9</v>
      </c>
      <c r="T26" s="160" t="s">
        <v>11</v>
      </c>
      <c r="U26" s="160" t="s">
        <v>12</v>
      </c>
      <c r="V26" s="160" t="s">
        <v>15</v>
      </c>
      <c r="W26" s="160" t="s">
        <v>16</v>
      </c>
      <c r="X26" s="160" t="s">
        <v>190</v>
      </c>
      <c r="Y26" s="286" t="s">
        <v>191</v>
      </c>
      <c r="Z26" s="160" t="s">
        <v>856</v>
      </c>
      <c r="AA26" s="160" t="s">
        <v>857</v>
      </c>
      <c r="AB26" s="160" t="s">
        <v>858</v>
      </c>
      <c r="AC26" s="160" t="s">
        <v>859</v>
      </c>
      <c r="AD26" s="160" t="s">
        <v>860</v>
      </c>
      <c r="AE26" s="160" t="s">
        <v>876</v>
      </c>
      <c r="AF26" s="160" t="s">
        <v>887</v>
      </c>
      <c r="AG26" s="172" t="s">
        <v>1117</v>
      </c>
      <c r="AH26" s="172" t="s">
        <v>1141</v>
      </c>
      <c r="AI26" s="160" t="s">
        <v>1141</v>
      </c>
      <c r="AJ26" s="172"/>
      <c r="AK26" s="172"/>
      <c r="AL26" s="172"/>
      <c r="AM26" s="172"/>
      <c r="AN26" s="172"/>
      <c r="AO26" s="160"/>
      <c r="AP26" s="172"/>
      <c r="AQ26" s="172"/>
      <c r="AR26" s="172"/>
      <c r="AS26" s="172"/>
      <c r="AT26" s="172"/>
      <c r="AU26" s="172"/>
      <c r="AV26" s="172"/>
      <c r="AW26" s="172"/>
      <c r="AX26" s="172"/>
      <c r="AZ26" s="160"/>
      <c r="BA26" s="160"/>
      <c r="BB26" s="160"/>
      <c r="BC26" s="160"/>
      <c r="BQ26" s="172"/>
      <c r="DX26" s="160"/>
      <c r="DY26" s="160"/>
      <c r="GH26" s="206"/>
      <c r="GI26" s="206"/>
      <c r="GJ26" s="206"/>
      <c r="GK26" s="206"/>
      <c r="GL26" s="206"/>
      <c r="GM26" s="206"/>
      <c r="GN26" s="206"/>
      <c r="GO26" s="206"/>
      <c r="GP26" s="207"/>
      <c r="GQ26" s="206"/>
      <c r="GR26" s="206"/>
      <c r="GS26" s="206"/>
      <c r="GT26" s="206"/>
      <c r="GU26" s="206"/>
      <c r="GV26" s="206"/>
      <c r="GW26" s="206"/>
      <c r="GX26" s="206"/>
      <c r="GY26" s="206"/>
      <c r="GZ26" s="206"/>
      <c r="HA26" s="206"/>
      <c r="HB26" s="206"/>
      <c r="HC26" s="206"/>
      <c r="HD26" s="206"/>
      <c r="HE26" s="206"/>
      <c r="HF26" s="216"/>
      <c r="HG26" s="216"/>
    </row>
    <row r="27" spans="1:215" s="101" customFormat="1" ht="89.25" x14ac:dyDescent="0.2">
      <c r="A27" s="203" t="s">
        <v>203</v>
      </c>
      <c r="B27" s="158" t="s">
        <v>542</v>
      </c>
      <c r="C27" s="101" t="s">
        <v>543</v>
      </c>
      <c r="E27" s="286" t="s">
        <v>918</v>
      </c>
      <c r="G27" s="286" t="s">
        <v>918</v>
      </c>
      <c r="H27" s="286" t="s">
        <v>919</v>
      </c>
      <c r="I27" s="101" t="s">
        <v>544</v>
      </c>
      <c r="J27" s="286" t="s">
        <v>918</v>
      </c>
      <c r="K27" s="286" t="s">
        <v>918</v>
      </c>
      <c r="M27" s="101" t="s">
        <v>542</v>
      </c>
      <c r="V27" s="101" t="s">
        <v>743</v>
      </c>
      <c r="X27" s="101" t="s">
        <v>192</v>
      </c>
      <c r="Y27" s="286" t="s">
        <v>920</v>
      </c>
      <c r="Z27" s="158" t="s">
        <v>861</v>
      </c>
      <c r="AA27" s="158" t="s">
        <v>861</v>
      </c>
      <c r="AB27" s="158" t="s">
        <v>861</v>
      </c>
      <c r="AC27" s="280" t="s">
        <v>861</v>
      </c>
      <c r="AD27" s="280" t="s">
        <v>861</v>
      </c>
      <c r="AE27" s="158" t="s">
        <v>888</v>
      </c>
      <c r="AF27" s="158" t="s">
        <v>889</v>
      </c>
    </row>
    <row r="28" spans="1:215" s="217" customFormat="1" ht="12.75" customHeight="1" x14ac:dyDescent="0.2"/>
    <row r="29" spans="1:215" s="217" customFormat="1" ht="12.75" customHeight="1" x14ac:dyDescent="0.2"/>
    <row r="30" spans="1:215" s="217" customFormat="1" ht="12.75" customHeight="1" x14ac:dyDescent="0.2"/>
    <row r="31" spans="1:215" s="217" customFormat="1" ht="12.75" customHeight="1" x14ac:dyDescent="0.2"/>
    <row r="32" spans="1:215" s="217" customFormat="1" ht="12.75" customHeight="1" x14ac:dyDescent="0.2"/>
    <row r="33" s="217" customFormat="1" ht="12.75" customHeight="1" x14ac:dyDescent="0.2"/>
    <row r="34" s="217" customFormat="1" ht="12.75" customHeight="1" x14ac:dyDescent="0.2"/>
    <row r="35" s="217" customFormat="1" ht="12.75" customHeight="1" x14ac:dyDescent="0.2"/>
    <row r="36" s="217" customFormat="1" ht="12.75" customHeight="1" x14ac:dyDescent="0.2"/>
    <row r="37" s="217" customFormat="1" ht="12.75" customHeight="1" x14ac:dyDescent="0.2"/>
    <row r="38" s="217" customFormat="1" ht="12.75" customHeight="1" x14ac:dyDescent="0.2"/>
    <row r="39" s="217" customFormat="1" ht="12.75" customHeight="1" x14ac:dyDescent="0.2"/>
    <row r="40" s="217" customFormat="1" ht="12.75" customHeight="1" x14ac:dyDescent="0.2"/>
    <row r="50" spans="1:1" ht="12.75" customHeight="1" x14ac:dyDescent="0.2">
      <c r="A50" s="218" t="s">
        <v>205</v>
      </c>
    </row>
    <row r="51" spans="1:1" s="220" customFormat="1" ht="12.75" customHeight="1" x14ac:dyDescent="0.2"/>
    <row r="65" spans="13:13" ht="12.75" customHeight="1" x14ac:dyDescent="0.2">
      <c r="M65" s="221"/>
    </row>
  </sheetData>
  <sheetProtection formatCells="0" insertHyperlinks="0"/>
  <customSheetViews>
    <customSheetView guid="{A8892CA7-9094-4C03-B23A-DC3610B7C783}">
      <pane xSplit="1" topLeftCell="B1" activePane="topRight" state="frozen"/>
      <selection pane="topRight" activeCell="B23" sqref="B23"/>
      <pageMargins left="0.25" right="0.25" top="0.5" bottom="0.5" header="0.3" footer="0.3"/>
      <pageSetup orientation="landscape" r:id="rId1"/>
      <headerFooter alignWithMargins="0">
        <oddFooter>Page &amp;P&amp;R&amp;F</oddFooter>
      </headerFooter>
    </customSheetView>
  </customSheetViews>
  <phoneticPr fontId="45" type="noConversion"/>
  <dataValidations count="4">
    <dataValidation type="list" allowBlank="1" showInputMessage="1" showErrorMessage="1" prompt="Select from List." sqref="GH3:HG3">
      <formula1>LstSourseType</formula1>
    </dataValidation>
    <dataValidation type="list" allowBlank="1" showInputMessage="1" showErrorMessage="1" prompt="Select from list." sqref="CH16 B19:IV19">
      <formula1>"Yes, No"</formula1>
    </dataValidation>
    <dataValidation type="list" allowBlank="1" showInputMessage="1" showErrorMessage="1" prompt="Select from List." sqref="HH3:IV3 B3:GG3">
      <formula1>lstSourceType</formula1>
    </dataValidation>
    <dataValidation type="list" allowBlank="1" showInputMessage="1" showErrorMessage="1" prompt="Select from list." sqref="B22:IV22">
      <formula1>lstOrigin</formula1>
    </dataValidation>
  </dataValidations>
  <hyperlinks>
    <hyperlink ref="Z20" r:id="rId2"/>
    <hyperlink ref="AA20" r:id="rId3"/>
    <hyperlink ref="AB20" r:id="rId4"/>
    <hyperlink ref="AC20" r:id="rId5"/>
    <hyperlink ref="AE20" r:id="rId6"/>
  </hyperlinks>
  <pageMargins left="0.25" right="0.25" top="0.5" bottom="0.5" header="0.3" footer="0.3"/>
  <pageSetup scale="90" orientation="landscape" r:id="rId7"/>
  <headerFooter alignWithMargins="0">
    <oddFooter>Page &amp;P&amp;R&amp;F</oddFooter>
  </headerFooter>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9"/>
  <sheetViews>
    <sheetView zoomScale="70" zoomScaleNormal="70" workbookViewId="0">
      <selection activeCell="B34" sqref="B34:H34"/>
    </sheetView>
  </sheetViews>
  <sheetFormatPr defaultRowHeight="12.75" x14ac:dyDescent="0.2"/>
  <cols>
    <col min="1" max="1" width="2.7109375" customWidth="1"/>
    <col min="2" max="2" width="17.7109375" customWidth="1"/>
    <col min="3" max="3" width="17.85546875" customWidth="1"/>
    <col min="4" max="4" width="22" customWidth="1"/>
    <col min="5" max="5" width="21.140625" customWidth="1"/>
    <col min="6" max="7" width="22" customWidth="1"/>
    <col min="8" max="8" width="17.42578125" customWidth="1"/>
    <col min="9" max="9" width="15.140625" customWidth="1"/>
    <col min="10" max="10" width="16.7109375" customWidth="1"/>
    <col min="11" max="11" width="15.28515625" customWidth="1"/>
  </cols>
  <sheetData>
    <row r="1" spans="1:40" ht="20.25" x14ac:dyDescent="0.3">
      <c r="A1" s="402" t="s">
        <v>339</v>
      </c>
      <c r="B1" s="402"/>
      <c r="C1" s="402"/>
      <c r="D1" s="402"/>
      <c r="E1" s="402"/>
      <c r="F1" s="402"/>
      <c r="G1" s="402"/>
      <c r="H1" s="402"/>
      <c r="I1" s="402"/>
      <c r="J1" s="402"/>
      <c r="K1" s="402"/>
      <c r="L1" s="402"/>
      <c r="P1" s="20"/>
      <c r="Q1" s="20"/>
      <c r="R1" s="20"/>
      <c r="S1" s="20"/>
      <c r="T1" s="20"/>
      <c r="U1" s="20"/>
      <c r="V1" s="20"/>
      <c r="W1" s="20"/>
      <c r="X1" s="20"/>
      <c r="Y1" s="20"/>
      <c r="Z1" s="20"/>
      <c r="AA1" s="20"/>
      <c r="AB1" s="20"/>
      <c r="AC1" s="20"/>
      <c r="AD1" s="20"/>
      <c r="AE1" s="20"/>
      <c r="AF1" s="20"/>
      <c r="AG1" s="20"/>
      <c r="AH1" s="20"/>
      <c r="AI1" s="20"/>
      <c r="AJ1" s="20"/>
      <c r="AK1" s="20"/>
      <c r="AL1" s="20"/>
      <c r="AM1" s="20"/>
      <c r="AN1" s="20"/>
    </row>
    <row r="2" spans="1:40" ht="17.25" customHeight="1" x14ac:dyDescent="0.25">
      <c r="A2" s="56" t="s">
        <v>322</v>
      </c>
      <c r="C2" s="57"/>
      <c r="D2" s="57"/>
      <c r="E2" s="57"/>
      <c r="F2" s="57"/>
      <c r="G2" s="57"/>
      <c r="H2" s="57"/>
    </row>
    <row r="3" spans="1:40" ht="38.25" customHeight="1" x14ac:dyDescent="0.2">
      <c r="B3" s="32" t="s">
        <v>359</v>
      </c>
      <c r="C3" s="58" t="s">
        <v>399</v>
      </c>
      <c r="D3" s="59" t="s">
        <v>292</v>
      </c>
      <c r="E3" s="59" t="s">
        <v>243</v>
      </c>
      <c r="F3" s="59" t="s">
        <v>305</v>
      </c>
      <c r="G3" s="59" t="s">
        <v>307</v>
      </c>
      <c r="H3" s="59" t="s">
        <v>317</v>
      </c>
      <c r="I3" s="60" t="s">
        <v>316</v>
      </c>
      <c r="J3" s="59" t="s">
        <v>323</v>
      </c>
      <c r="K3" s="59" t="s">
        <v>324</v>
      </c>
    </row>
    <row r="4" spans="1:40" ht="25.5" x14ac:dyDescent="0.2">
      <c r="B4" s="147" t="s">
        <v>878</v>
      </c>
      <c r="C4" s="147" t="s">
        <v>879</v>
      </c>
      <c r="D4" s="148">
        <v>1</v>
      </c>
      <c r="E4" s="148">
        <v>1</v>
      </c>
      <c r="F4" s="148">
        <v>2</v>
      </c>
      <c r="G4" s="148">
        <v>1</v>
      </c>
      <c r="H4" s="148">
        <v>1</v>
      </c>
      <c r="I4" s="147" t="s">
        <v>880</v>
      </c>
      <c r="J4" s="147" t="s">
        <v>360</v>
      </c>
      <c r="K4" s="149" t="s">
        <v>361</v>
      </c>
    </row>
    <row r="5" spans="1:40" ht="25.5" x14ac:dyDescent="0.2">
      <c r="B5" s="147" t="s">
        <v>441</v>
      </c>
      <c r="C5" s="147" t="s">
        <v>666</v>
      </c>
      <c r="D5" s="148">
        <v>1</v>
      </c>
      <c r="E5" s="148">
        <v>2</v>
      </c>
      <c r="F5" s="148">
        <v>2</v>
      </c>
      <c r="G5" s="148">
        <v>2</v>
      </c>
      <c r="H5" s="148">
        <v>1</v>
      </c>
      <c r="I5" s="147" t="s">
        <v>690</v>
      </c>
      <c r="J5" s="147" t="s">
        <v>360</v>
      </c>
      <c r="K5" s="149" t="s">
        <v>361</v>
      </c>
    </row>
    <row r="6" spans="1:40" ht="25.5" x14ac:dyDescent="0.2">
      <c r="B6" s="148" t="s">
        <v>669</v>
      </c>
      <c r="C6" s="150" t="s">
        <v>668</v>
      </c>
      <c r="D6" s="148">
        <v>2</v>
      </c>
      <c r="E6" s="148">
        <v>2</v>
      </c>
      <c r="F6" s="148">
        <v>1</v>
      </c>
      <c r="G6" s="148">
        <v>2</v>
      </c>
      <c r="H6" s="148">
        <v>2</v>
      </c>
      <c r="I6" s="148" t="s">
        <v>678</v>
      </c>
      <c r="J6" s="148" t="s">
        <v>360</v>
      </c>
      <c r="K6" s="150" t="s">
        <v>361</v>
      </c>
    </row>
    <row r="7" spans="1:40" x14ac:dyDescent="0.2">
      <c r="B7" s="148" t="s">
        <v>670</v>
      </c>
      <c r="C7" s="150" t="s">
        <v>677</v>
      </c>
      <c r="D7" s="148">
        <v>2</v>
      </c>
      <c r="E7" s="148">
        <v>2</v>
      </c>
      <c r="F7" s="148">
        <v>2</v>
      </c>
      <c r="G7" s="148">
        <v>2</v>
      </c>
      <c r="H7" s="148">
        <v>2</v>
      </c>
      <c r="I7" s="148" t="s">
        <v>679</v>
      </c>
      <c r="J7" s="148" t="s">
        <v>360</v>
      </c>
      <c r="K7" s="150" t="s">
        <v>361</v>
      </c>
    </row>
    <row r="8" spans="1:40" ht="13.5" thickBot="1" x14ac:dyDescent="0.25">
      <c r="B8" s="198" t="s">
        <v>671</v>
      </c>
      <c r="C8" s="199" t="s">
        <v>672</v>
      </c>
      <c r="D8" s="198">
        <v>2</v>
      </c>
      <c r="E8" s="198">
        <v>2</v>
      </c>
      <c r="F8" s="198">
        <v>2</v>
      </c>
      <c r="G8" s="198">
        <v>2</v>
      </c>
      <c r="H8" s="198">
        <v>2</v>
      </c>
      <c r="I8" s="198" t="s">
        <v>679</v>
      </c>
      <c r="J8" s="198" t="s">
        <v>360</v>
      </c>
      <c r="K8" s="199" t="s">
        <v>361</v>
      </c>
    </row>
    <row r="9" spans="1:40" s="61" customFormat="1" x14ac:dyDescent="0.2">
      <c r="B9" s="229" t="s">
        <v>213</v>
      </c>
      <c r="C9" s="196"/>
      <c r="D9" s="196"/>
      <c r="E9" s="196"/>
      <c r="F9" s="196"/>
      <c r="G9" s="196"/>
      <c r="H9" s="196"/>
      <c r="I9" s="197" t="s">
        <v>881</v>
      </c>
      <c r="J9" s="403" t="s">
        <v>361</v>
      </c>
      <c r="K9" s="403"/>
    </row>
    <row r="10" spans="1:40" ht="20.25" x14ac:dyDescent="0.3">
      <c r="B10" s="20"/>
      <c r="C10" s="20"/>
      <c r="D10" s="20"/>
      <c r="E10" s="20"/>
      <c r="F10" s="20"/>
      <c r="G10" s="20"/>
      <c r="H10" s="20"/>
      <c r="I10" s="62"/>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row>
    <row r="11" spans="1:40" ht="20.25" x14ac:dyDescent="0.3">
      <c r="A11" s="63" t="s">
        <v>362</v>
      </c>
      <c r="C11" s="20"/>
      <c r="D11" s="20"/>
      <c r="E11" s="20"/>
      <c r="F11" s="20"/>
      <c r="G11" s="20"/>
      <c r="H11" s="62"/>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row>
    <row r="12" spans="1:40" s="28" customFormat="1" ht="13.5" thickBot="1" x14ac:dyDescent="0.25">
      <c r="A12" s="64" t="s">
        <v>363</v>
      </c>
      <c r="F12" s="20"/>
      <c r="G12" s="20"/>
      <c r="H12" s="20"/>
      <c r="I12" s="20"/>
      <c r="J12" s="20"/>
      <c r="K12" s="20"/>
      <c r="L12" s="20"/>
    </row>
    <row r="13" spans="1:40" ht="13.5" thickBot="1" x14ac:dyDescent="0.25">
      <c r="B13" s="378" t="s">
        <v>290</v>
      </c>
      <c r="C13" s="380" t="s">
        <v>291</v>
      </c>
      <c r="D13" s="381"/>
      <c r="E13" s="381"/>
      <c r="F13" s="381"/>
      <c r="G13" s="382"/>
    </row>
    <row r="14" spans="1:40" ht="13.5" thickBot="1" x14ac:dyDescent="0.25">
      <c r="B14" s="379"/>
      <c r="C14" s="24">
        <v>1</v>
      </c>
      <c r="D14" s="24">
        <v>2</v>
      </c>
      <c r="E14" s="24">
        <v>3</v>
      </c>
      <c r="F14" s="24">
        <v>4</v>
      </c>
      <c r="G14" s="24">
        <v>5</v>
      </c>
    </row>
    <row r="15" spans="1:40" ht="60.75" customHeight="1" thickBot="1" x14ac:dyDescent="0.25">
      <c r="B15" s="383" t="s">
        <v>374</v>
      </c>
      <c r="C15" s="26" t="s">
        <v>293</v>
      </c>
      <c r="D15" s="26" t="s">
        <v>294</v>
      </c>
      <c r="E15" s="26" t="s">
        <v>295</v>
      </c>
      <c r="F15" s="26" t="s">
        <v>296</v>
      </c>
      <c r="G15" s="26" t="s">
        <v>297</v>
      </c>
    </row>
    <row r="16" spans="1:40" ht="13.5" customHeight="1" thickBot="1" x14ac:dyDescent="0.25">
      <c r="B16" s="384"/>
      <c r="C16" s="386" t="s">
        <v>298</v>
      </c>
      <c r="D16" s="387"/>
      <c r="E16" s="386" t="s">
        <v>299</v>
      </c>
      <c r="F16" s="388"/>
      <c r="G16" s="387"/>
    </row>
    <row r="17" spans="1:18" ht="36.75" customHeight="1" thickBot="1" x14ac:dyDescent="0.25">
      <c r="B17" s="385"/>
      <c r="C17" s="30" t="s">
        <v>300</v>
      </c>
      <c r="D17" s="389" t="s">
        <v>375</v>
      </c>
      <c r="E17" s="390"/>
      <c r="F17" s="404" t="s">
        <v>301</v>
      </c>
      <c r="G17" s="405"/>
    </row>
    <row r="18" spans="1:18" ht="60.75" thickBot="1" x14ac:dyDescent="0.25">
      <c r="B18" s="27" t="s">
        <v>243</v>
      </c>
      <c r="C18" s="26" t="s">
        <v>302</v>
      </c>
      <c r="D18" s="26" t="s">
        <v>376</v>
      </c>
      <c r="E18" s="26" t="s">
        <v>377</v>
      </c>
      <c r="F18" s="26" t="s">
        <v>303</v>
      </c>
      <c r="G18" s="26" t="s">
        <v>304</v>
      </c>
    </row>
    <row r="19" spans="1:18" ht="36.75" thickBot="1" x14ac:dyDescent="0.25">
      <c r="B19" s="27" t="s">
        <v>305</v>
      </c>
      <c r="C19" s="26" t="s">
        <v>378</v>
      </c>
      <c r="D19" s="26" t="s">
        <v>306</v>
      </c>
      <c r="E19" s="26" t="s">
        <v>379</v>
      </c>
      <c r="F19" s="26" t="s">
        <v>380</v>
      </c>
      <c r="G19" s="26" t="s">
        <v>381</v>
      </c>
    </row>
    <row r="20" spans="1:18" ht="36.75" thickBot="1" x14ac:dyDescent="0.25">
      <c r="B20" s="27" t="s">
        <v>307</v>
      </c>
      <c r="C20" s="26" t="s">
        <v>308</v>
      </c>
      <c r="D20" s="26" t="s">
        <v>318</v>
      </c>
      <c r="E20" s="26" t="s">
        <v>309</v>
      </c>
      <c r="F20" s="26" t="s">
        <v>310</v>
      </c>
      <c r="G20" s="26" t="s">
        <v>311</v>
      </c>
    </row>
    <row r="21" spans="1:18" ht="48.75" thickBot="1" x14ac:dyDescent="0.25">
      <c r="B21" s="27" t="s">
        <v>364</v>
      </c>
      <c r="C21" s="26" t="s">
        <v>382</v>
      </c>
      <c r="D21" s="386" t="s">
        <v>312</v>
      </c>
      <c r="E21" s="387"/>
      <c r="F21" s="26" t="s">
        <v>313</v>
      </c>
      <c r="G21" s="26" t="s">
        <v>314</v>
      </c>
    </row>
    <row r="22" spans="1:18" x14ac:dyDescent="0.2">
      <c r="B22" s="65"/>
      <c r="C22" s="66"/>
      <c r="D22" s="66"/>
      <c r="E22" s="66"/>
      <c r="F22" s="66"/>
      <c r="G22" s="66"/>
    </row>
    <row r="23" spans="1:18" x14ac:dyDescent="0.2">
      <c r="B23" s="65"/>
      <c r="C23" s="66"/>
      <c r="D23" s="66"/>
      <c r="E23" s="66"/>
      <c r="F23" s="66"/>
      <c r="G23" s="66"/>
    </row>
    <row r="24" spans="1:18" x14ac:dyDescent="0.2">
      <c r="A24" s="67" t="s">
        <v>365</v>
      </c>
      <c r="C24" s="38"/>
      <c r="D24" s="38"/>
      <c r="E24" s="38"/>
      <c r="F24" s="38"/>
      <c r="G24" s="38"/>
      <c r="H24" s="38"/>
      <c r="I24" s="38"/>
      <c r="J24" s="38"/>
      <c r="K24" s="38"/>
      <c r="L24" s="38"/>
      <c r="M24" s="38"/>
      <c r="N24" s="38"/>
      <c r="O24" s="38"/>
      <c r="P24" s="38"/>
      <c r="Q24" s="38"/>
      <c r="R24" s="38"/>
    </row>
    <row r="25" spans="1:18" x14ac:dyDescent="0.2">
      <c r="B25" s="68" t="s">
        <v>366</v>
      </c>
      <c r="C25" s="69"/>
      <c r="D25" s="69"/>
      <c r="E25" s="69"/>
      <c r="F25" s="69"/>
      <c r="G25" s="69"/>
      <c r="H25" s="70"/>
      <c r="I25" s="38"/>
      <c r="J25" s="38"/>
      <c r="K25" s="38"/>
      <c r="L25" s="38"/>
      <c r="M25" s="38"/>
      <c r="N25" s="38"/>
      <c r="O25" s="38"/>
      <c r="P25" s="38"/>
      <c r="Q25" s="38"/>
      <c r="R25" s="38"/>
    </row>
    <row r="26" spans="1:18" ht="65.25" customHeight="1" x14ac:dyDescent="0.2">
      <c r="B26" s="71"/>
      <c r="C26" s="374" t="s">
        <v>383</v>
      </c>
      <c r="D26" s="375"/>
      <c r="E26" s="375"/>
      <c r="F26" s="375"/>
      <c r="G26" s="375"/>
      <c r="H26" s="376"/>
      <c r="N26" s="25"/>
      <c r="O26" s="25"/>
      <c r="P26" s="25"/>
      <c r="Q26" s="25"/>
      <c r="R26" s="25"/>
    </row>
    <row r="27" spans="1:18" x14ac:dyDescent="0.2">
      <c r="B27" s="71"/>
      <c r="C27" s="72" t="s">
        <v>384</v>
      </c>
      <c r="D27" s="73"/>
      <c r="E27" s="73"/>
      <c r="F27" s="73"/>
      <c r="G27" s="73"/>
      <c r="H27" s="74"/>
      <c r="I27" s="38"/>
      <c r="J27" s="38"/>
      <c r="K27" s="38"/>
      <c r="L27" s="38"/>
      <c r="M27" s="38"/>
      <c r="N27" s="38"/>
      <c r="O27" s="38"/>
      <c r="P27" s="38"/>
      <c r="Q27" s="38"/>
      <c r="R27" s="38"/>
    </row>
    <row r="28" spans="1:18" x14ac:dyDescent="0.2">
      <c r="B28" s="71"/>
      <c r="C28" s="75" t="s">
        <v>385</v>
      </c>
      <c r="D28" s="76"/>
      <c r="E28" s="76"/>
      <c r="F28" s="76"/>
      <c r="G28" s="76"/>
      <c r="H28" s="77"/>
      <c r="I28" s="38"/>
      <c r="J28" s="38"/>
      <c r="K28" s="38"/>
      <c r="L28" s="38"/>
      <c r="M28" s="38"/>
      <c r="N28" s="38"/>
      <c r="O28" s="38"/>
      <c r="P28" s="38"/>
      <c r="Q28" s="38"/>
      <c r="R28" s="38"/>
    </row>
    <row r="29" spans="1:18" x14ac:dyDescent="0.2">
      <c r="B29" s="71"/>
      <c r="C29" s="75" t="s">
        <v>386</v>
      </c>
      <c r="D29" s="76"/>
      <c r="E29" s="76"/>
      <c r="F29" s="76"/>
      <c r="G29" s="76"/>
      <c r="H29" s="77"/>
      <c r="I29" s="38"/>
      <c r="J29" s="38"/>
      <c r="K29" s="38"/>
      <c r="L29" s="38"/>
      <c r="M29" s="38"/>
      <c r="N29" s="38"/>
      <c r="O29" s="38"/>
      <c r="P29" s="38"/>
      <c r="Q29" s="38"/>
      <c r="R29" s="38"/>
    </row>
    <row r="30" spans="1:18" x14ac:dyDescent="0.2">
      <c r="B30" s="71"/>
      <c r="C30" s="75" t="s">
        <v>387</v>
      </c>
      <c r="D30" s="76"/>
      <c r="E30" s="76"/>
      <c r="F30" s="76"/>
      <c r="G30" s="76"/>
      <c r="H30" s="77"/>
      <c r="I30" s="38"/>
      <c r="J30" s="38"/>
      <c r="K30" s="38"/>
      <c r="L30" s="38"/>
      <c r="M30" s="38"/>
      <c r="N30" s="38"/>
      <c r="O30" s="38"/>
      <c r="P30" s="38"/>
      <c r="Q30" s="38"/>
      <c r="R30" s="38"/>
    </row>
    <row r="31" spans="1:18" x14ac:dyDescent="0.2">
      <c r="B31" s="71"/>
      <c r="C31" s="75" t="s">
        <v>388</v>
      </c>
      <c r="D31" s="76"/>
      <c r="E31" s="76"/>
      <c r="F31" s="76"/>
      <c r="G31" s="76"/>
      <c r="H31" s="77"/>
      <c r="I31" s="38"/>
      <c r="J31" s="38"/>
      <c r="K31" s="38"/>
      <c r="L31" s="38"/>
      <c r="M31" s="38"/>
      <c r="N31" s="38"/>
      <c r="O31" s="38"/>
      <c r="P31" s="38"/>
      <c r="Q31" s="38"/>
      <c r="R31" s="38"/>
    </row>
    <row r="32" spans="1:18" ht="41.25" customHeight="1" x14ac:dyDescent="0.2">
      <c r="B32" s="71"/>
      <c r="C32" s="391" t="s">
        <v>319</v>
      </c>
      <c r="D32" s="392"/>
      <c r="E32" s="392"/>
      <c r="F32" s="392"/>
      <c r="G32" s="392"/>
      <c r="H32" s="393"/>
      <c r="N32" s="78"/>
      <c r="O32" s="78"/>
      <c r="P32" s="78"/>
      <c r="Q32" s="38"/>
      <c r="R32" s="38"/>
    </row>
    <row r="33" spans="1:18" ht="38.25" customHeight="1" x14ac:dyDescent="0.2">
      <c r="B33" s="79"/>
      <c r="C33" s="374" t="s">
        <v>389</v>
      </c>
      <c r="D33" s="375"/>
      <c r="E33" s="375"/>
      <c r="F33" s="375"/>
      <c r="G33" s="375"/>
      <c r="H33" s="376"/>
      <c r="N33" s="25"/>
      <c r="O33" s="25"/>
      <c r="P33" s="25"/>
      <c r="Q33" s="25"/>
      <c r="R33" s="38"/>
    </row>
    <row r="34" spans="1:18" ht="43.5" customHeight="1" x14ac:dyDescent="0.2">
      <c r="B34" s="374" t="s">
        <v>367</v>
      </c>
      <c r="C34" s="375"/>
      <c r="D34" s="375"/>
      <c r="E34" s="375"/>
      <c r="F34" s="375"/>
      <c r="G34" s="375"/>
      <c r="H34" s="376"/>
      <c r="I34" s="38"/>
      <c r="J34" s="38"/>
      <c r="K34" s="38"/>
      <c r="L34" s="38"/>
      <c r="M34" s="38"/>
      <c r="N34" s="38"/>
      <c r="O34" s="38"/>
      <c r="P34" s="38"/>
      <c r="Q34" s="38"/>
      <c r="R34" s="38"/>
    </row>
    <row r="35" spans="1:18" ht="49.5" customHeight="1" x14ac:dyDescent="0.25">
      <c r="B35" s="374" t="s">
        <v>390</v>
      </c>
      <c r="C35" s="375"/>
      <c r="D35" s="375"/>
      <c r="E35" s="375"/>
      <c r="F35" s="375"/>
      <c r="G35" s="375"/>
      <c r="H35" s="376"/>
      <c r="I35" s="29"/>
    </row>
    <row r="36" spans="1:18" ht="46.5" customHeight="1" x14ac:dyDescent="0.25">
      <c r="B36" s="374" t="s">
        <v>368</v>
      </c>
      <c r="C36" s="375"/>
      <c r="D36" s="375"/>
      <c r="E36" s="375"/>
      <c r="F36" s="375"/>
      <c r="G36" s="375"/>
      <c r="H36" s="376"/>
      <c r="I36" s="29"/>
    </row>
    <row r="37" spans="1:18" ht="30" customHeight="1" x14ac:dyDescent="0.25">
      <c r="B37" s="374" t="s">
        <v>369</v>
      </c>
      <c r="C37" s="375"/>
      <c r="D37" s="375"/>
      <c r="E37" s="375"/>
      <c r="F37" s="375"/>
      <c r="G37" s="375"/>
      <c r="H37" s="376"/>
      <c r="I37" s="29"/>
    </row>
    <row r="38" spans="1:18" ht="26.25" customHeight="1" x14ac:dyDescent="0.25">
      <c r="A38" s="80" t="s">
        <v>370</v>
      </c>
      <c r="B38" s="80"/>
      <c r="I38" s="31"/>
    </row>
    <row r="39" spans="1:18" ht="30" customHeight="1" x14ac:dyDescent="0.2">
      <c r="B39" s="399" t="s">
        <v>391</v>
      </c>
      <c r="C39" s="400"/>
      <c r="D39" s="400"/>
      <c r="E39" s="400"/>
      <c r="F39" s="400"/>
      <c r="G39" s="400"/>
      <c r="H39" s="401"/>
    </row>
    <row r="40" spans="1:18" ht="12.75" customHeight="1" x14ac:dyDescent="0.2">
      <c r="B40" s="406" t="s">
        <v>392</v>
      </c>
      <c r="C40" s="407"/>
      <c r="D40" s="407"/>
      <c r="E40" s="407"/>
      <c r="F40" s="407"/>
      <c r="G40" s="81"/>
      <c r="H40" s="82"/>
    </row>
    <row r="41" spans="1:18" ht="29.25" customHeight="1" x14ac:dyDescent="0.2">
      <c r="B41" s="396" t="s">
        <v>393</v>
      </c>
      <c r="C41" s="397"/>
      <c r="D41" s="397"/>
      <c r="E41" s="397"/>
      <c r="F41" s="397"/>
      <c r="G41" s="397"/>
      <c r="H41" s="398"/>
    </row>
    <row r="42" spans="1:18" ht="15" customHeight="1" x14ac:dyDescent="0.2">
      <c r="B42" s="83" t="s">
        <v>315</v>
      </c>
      <c r="C42" s="81"/>
      <c r="D42" s="81"/>
      <c r="E42" s="81"/>
      <c r="F42" s="81"/>
      <c r="G42" s="81"/>
      <c r="H42" s="82"/>
    </row>
    <row r="43" spans="1:18" ht="30.75" customHeight="1" x14ac:dyDescent="0.2">
      <c r="B43" s="396" t="s">
        <v>320</v>
      </c>
      <c r="C43" s="397"/>
      <c r="D43" s="397"/>
      <c r="E43" s="397"/>
      <c r="F43" s="397"/>
      <c r="G43" s="397"/>
      <c r="H43" s="398"/>
    </row>
    <row r="44" spans="1:18" ht="12.75" customHeight="1" x14ac:dyDescent="0.2">
      <c r="B44" s="394" t="s">
        <v>394</v>
      </c>
      <c r="C44" s="395"/>
      <c r="D44" s="395"/>
      <c r="E44" s="395"/>
      <c r="F44" s="395"/>
      <c r="G44" s="395"/>
      <c r="H44" s="82"/>
    </row>
    <row r="45" spans="1:18" ht="35.25" customHeight="1" x14ac:dyDescent="0.2">
      <c r="B45" s="396" t="s">
        <v>395</v>
      </c>
      <c r="C45" s="397"/>
      <c r="D45" s="397"/>
      <c r="E45" s="397"/>
      <c r="F45" s="397"/>
      <c r="G45" s="397"/>
      <c r="H45" s="398"/>
    </row>
    <row r="46" spans="1:18" ht="24.75" customHeight="1" x14ac:dyDescent="0.2">
      <c r="B46" s="371" t="s">
        <v>396</v>
      </c>
      <c r="C46" s="372"/>
      <c r="D46" s="372"/>
      <c r="E46" s="372"/>
      <c r="F46" s="372"/>
      <c r="G46" s="372"/>
      <c r="H46" s="373"/>
    </row>
    <row r="47" spans="1:18" ht="27.75" customHeight="1" x14ac:dyDescent="0.2">
      <c r="B47" s="391" t="s">
        <v>321</v>
      </c>
      <c r="C47" s="392"/>
      <c r="D47" s="392"/>
      <c r="E47" s="392"/>
      <c r="F47" s="392"/>
      <c r="G47" s="392"/>
      <c r="H47" s="393"/>
    </row>
    <row r="48" spans="1:18" ht="21" customHeight="1" x14ac:dyDescent="0.2">
      <c r="B48" s="374" t="s">
        <v>397</v>
      </c>
      <c r="C48" s="375"/>
      <c r="D48" s="375"/>
      <c r="E48" s="375"/>
      <c r="F48" s="375"/>
      <c r="G48" s="375"/>
      <c r="H48" s="376"/>
    </row>
    <row r="49" spans="2:8" ht="26.25" customHeight="1" x14ac:dyDescent="0.2">
      <c r="B49" s="377" t="s">
        <v>398</v>
      </c>
      <c r="C49" s="377"/>
      <c r="D49" s="377"/>
      <c r="E49" s="377"/>
      <c r="F49" s="377"/>
      <c r="G49" s="377"/>
      <c r="H49" s="377"/>
    </row>
  </sheetData>
  <customSheetViews>
    <customSheetView guid="{A8892CA7-9094-4C03-B23A-DC3610B7C783}">
      <selection activeCell="C4" sqref="C4"/>
      <pageMargins left="0.7" right="0.7" top="0.75" bottom="0.75" header="0.3" footer="0.3"/>
      <pageSetup paperSize="17" orientation="landscape" r:id="rId1"/>
      <headerFooter>
        <oddFooter>&amp;CPage &amp;P&amp;R&amp;F</oddFooter>
      </headerFooter>
    </customSheetView>
  </customSheetViews>
  <mergeCells count="27">
    <mergeCell ref="A1:L1"/>
    <mergeCell ref="J9:K9"/>
    <mergeCell ref="D21:E21"/>
    <mergeCell ref="C26:H26"/>
    <mergeCell ref="F17:G17"/>
    <mergeCell ref="B43:H43"/>
    <mergeCell ref="B40:F40"/>
    <mergeCell ref="B44:G44"/>
    <mergeCell ref="B41:H41"/>
    <mergeCell ref="B45:H45"/>
    <mergeCell ref="C32:H32"/>
    <mergeCell ref="C33:H33"/>
    <mergeCell ref="B34:H34"/>
    <mergeCell ref="B35:H35"/>
    <mergeCell ref="B36:H36"/>
    <mergeCell ref="B37:H37"/>
    <mergeCell ref="B39:H39"/>
    <mergeCell ref="B46:H46"/>
    <mergeCell ref="B48:H48"/>
    <mergeCell ref="B49:H49"/>
    <mergeCell ref="B13:B14"/>
    <mergeCell ref="C13:G13"/>
    <mergeCell ref="B15:B17"/>
    <mergeCell ref="C16:D16"/>
    <mergeCell ref="E16:G16"/>
    <mergeCell ref="D17:E17"/>
    <mergeCell ref="B47:H47"/>
  </mergeCells>
  <phoneticPr fontId="45" type="noConversion"/>
  <pageMargins left="0.25" right="0.25" top="0.75" bottom="0.75" header="0.3" footer="0.3"/>
  <pageSetup paperSize="3" fitToHeight="2" orientation="landscape" r:id="rId2"/>
  <headerFooter>
    <oddFooter>&amp;CPage &amp;P&amp;R&amp;F</oddFooter>
  </headerFooter>
  <rowBreaks count="1" manualBreakCount="1">
    <brk id="23"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zoomScale="70" zoomScaleNormal="70" zoomScaleSheetLayoutView="100" workbookViewId="0">
      <selection activeCell="F44" sqref="F44"/>
    </sheetView>
  </sheetViews>
  <sheetFormatPr defaultRowHeight="12.75" x14ac:dyDescent="0.2"/>
  <cols>
    <col min="1" max="1" width="24.28515625" customWidth="1"/>
    <col min="2" max="2" width="11.5703125" customWidth="1"/>
    <col min="3" max="3" width="14.85546875" customWidth="1"/>
    <col min="4" max="4" width="12.140625" customWidth="1"/>
    <col min="5" max="5" width="27" customWidth="1"/>
    <col min="6" max="6" width="14.140625" customWidth="1"/>
    <col min="7" max="7" width="14.42578125" customWidth="1"/>
    <col min="9" max="9" width="15.5703125" customWidth="1"/>
    <col min="11" max="11" width="10.85546875" customWidth="1"/>
    <col min="12" max="12" width="25.7109375" customWidth="1"/>
    <col min="13" max="13" width="27.28515625" customWidth="1"/>
    <col min="14" max="14" width="20" customWidth="1"/>
    <col min="15" max="15" width="14.140625" customWidth="1"/>
    <col min="16" max="16" width="13.7109375" customWidth="1"/>
    <col min="17" max="17" width="15.42578125" customWidth="1"/>
    <col min="18" max="18" width="14.85546875" customWidth="1"/>
    <col min="19" max="19" width="12.7109375" customWidth="1"/>
    <col min="21" max="21" width="11.140625" customWidth="1"/>
  </cols>
  <sheetData>
    <row r="1" spans="1:38" ht="20.25" x14ac:dyDescent="0.3">
      <c r="A1" s="20"/>
      <c r="B1" s="20"/>
      <c r="C1" s="20"/>
      <c r="D1" s="20"/>
      <c r="E1" s="20"/>
      <c r="F1" s="20"/>
      <c r="G1" s="20"/>
      <c r="H1" s="244" t="s">
        <v>98</v>
      </c>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s="84" customFormat="1" ht="20.25" x14ac:dyDescent="0.3">
      <c r="A2" s="63" t="s">
        <v>340</v>
      </c>
      <c r="B2" s="63"/>
      <c r="C2" s="63"/>
      <c r="D2" s="63"/>
      <c r="E2" s="63"/>
      <c r="F2" s="63"/>
      <c r="G2" s="63"/>
      <c r="H2" s="63"/>
      <c r="I2" s="63" t="s">
        <v>206</v>
      </c>
    </row>
    <row r="3" spans="1:38" x14ac:dyDescent="0.2">
      <c r="A3" s="260" t="s">
        <v>421</v>
      </c>
      <c r="B3" s="260" t="s">
        <v>232</v>
      </c>
      <c r="C3" s="260" t="s">
        <v>239</v>
      </c>
      <c r="D3" s="260" t="s">
        <v>54</v>
      </c>
      <c r="E3" s="260"/>
      <c r="F3" s="260" t="s">
        <v>343</v>
      </c>
    </row>
    <row r="4" spans="1:38" x14ac:dyDescent="0.2">
      <c r="A4" s="38" t="s">
        <v>102</v>
      </c>
      <c r="B4">
        <v>1150000</v>
      </c>
      <c r="C4" s="38" t="s">
        <v>106</v>
      </c>
      <c r="I4" s="38" t="s">
        <v>119</v>
      </c>
    </row>
    <row r="5" spans="1:38" x14ac:dyDescent="0.2">
      <c r="A5" s="38" t="s">
        <v>103</v>
      </c>
      <c r="B5">
        <v>1100000</v>
      </c>
      <c r="C5" s="38" t="s">
        <v>106</v>
      </c>
      <c r="I5" s="38" t="s">
        <v>119</v>
      </c>
    </row>
    <row r="6" spans="1:38" x14ac:dyDescent="0.2">
      <c r="A6" s="38" t="s">
        <v>104</v>
      </c>
      <c r="B6">
        <v>1200000</v>
      </c>
      <c r="C6" s="38" t="s">
        <v>106</v>
      </c>
      <c r="I6" s="38" t="s">
        <v>119</v>
      </c>
    </row>
    <row r="7" spans="1:38" x14ac:dyDescent="0.2">
      <c r="A7" s="38" t="s">
        <v>100</v>
      </c>
      <c r="B7">
        <v>0.94299999999999995</v>
      </c>
      <c r="C7" s="38" t="s">
        <v>435</v>
      </c>
      <c r="I7" s="38" t="s">
        <v>105</v>
      </c>
    </row>
    <row r="8" spans="1:38" x14ac:dyDescent="0.2">
      <c r="A8" s="38" t="s">
        <v>101</v>
      </c>
      <c r="B8">
        <v>5.7000000000000002E-2</v>
      </c>
      <c r="C8" s="38" t="s">
        <v>435</v>
      </c>
      <c r="I8" s="38" t="s">
        <v>105</v>
      </c>
    </row>
    <row r="10" spans="1:38" x14ac:dyDescent="0.2">
      <c r="A10" s="38" t="s">
        <v>107</v>
      </c>
      <c r="B10" s="133">
        <f>B4*C_Diesel!$B$7/Conversions!$D$36</f>
        <v>31.279734564844023</v>
      </c>
      <c r="C10" s="38" t="s">
        <v>120</v>
      </c>
    </row>
    <row r="11" spans="1:38" x14ac:dyDescent="0.2">
      <c r="A11" s="38" t="s">
        <v>108</v>
      </c>
      <c r="B11" s="133">
        <f>B5*C_Diesel!$B$7/Conversions!$D$36</f>
        <v>29.919746105502981</v>
      </c>
      <c r="C11" s="38" t="s">
        <v>120</v>
      </c>
    </row>
    <row r="12" spans="1:38" x14ac:dyDescent="0.2">
      <c r="A12" s="38" t="s">
        <v>109</v>
      </c>
      <c r="B12" s="133">
        <f>B6*C_Diesel!$B$7/Conversions!$D$36</f>
        <v>32.639723024185066</v>
      </c>
      <c r="C12" s="38" t="s">
        <v>120</v>
      </c>
    </row>
    <row r="13" spans="1:38" x14ac:dyDescent="0.2">
      <c r="A13" s="38" t="s">
        <v>110</v>
      </c>
      <c r="B13" s="133">
        <f>B4*$B$8*Conversions!$D$26</f>
        <v>19.21080405</v>
      </c>
      <c r="C13" s="38" t="s">
        <v>118</v>
      </c>
    </row>
    <row r="14" spans="1:38" x14ac:dyDescent="0.2">
      <c r="A14" s="38" t="s">
        <v>111</v>
      </c>
      <c r="B14" s="133">
        <f>B5*$B$8*Conversions!$D$26</f>
        <v>18.375551699999999</v>
      </c>
      <c r="C14" s="38" t="s">
        <v>118</v>
      </c>
    </row>
    <row r="15" spans="1:38" x14ac:dyDescent="0.2">
      <c r="A15" s="38" t="s">
        <v>112</v>
      </c>
      <c r="B15" s="133">
        <f>B6*$B$8*Conversions!$D$26</f>
        <v>20.046056400000001</v>
      </c>
      <c r="C15" s="38" t="s">
        <v>118</v>
      </c>
    </row>
    <row r="19" spans="1:33" x14ac:dyDescent="0.2">
      <c r="J19" s="106"/>
    </row>
    <row r="24" spans="1:33" x14ac:dyDescent="0.2">
      <c r="A24" t="s">
        <v>99</v>
      </c>
    </row>
    <row r="25" spans="1:33" ht="15" x14ac:dyDescent="0.2">
      <c r="A25" s="124" t="s">
        <v>745</v>
      </c>
      <c r="B25" s="54"/>
      <c r="C25" s="54"/>
      <c r="D25" s="54"/>
      <c r="E25" s="54"/>
      <c r="F25" s="54"/>
      <c r="G25" s="54"/>
      <c r="H25" s="54"/>
      <c r="I25" s="54"/>
    </row>
    <row r="26" spans="1:33" x14ac:dyDescent="0.2">
      <c r="A26" s="118"/>
      <c r="B26" s="125"/>
      <c r="C26" s="125"/>
      <c r="D26" s="125"/>
      <c r="E26" s="126" t="s">
        <v>421</v>
      </c>
      <c r="F26" s="126" t="s">
        <v>232</v>
      </c>
      <c r="G26" s="126" t="s">
        <v>239</v>
      </c>
      <c r="H26" s="99"/>
      <c r="I26" s="146" t="s">
        <v>431</v>
      </c>
      <c r="J26" s="90"/>
      <c r="K26" s="90"/>
      <c r="L26" s="38"/>
    </row>
    <row r="27" spans="1:33" x14ac:dyDescent="0.2">
      <c r="A27" s="118"/>
      <c r="B27" s="114" t="s">
        <v>556</v>
      </c>
      <c r="C27" s="125"/>
      <c r="D27" s="125"/>
      <c r="E27" s="126"/>
      <c r="F27" s="126"/>
      <c r="G27" s="126"/>
      <c r="H27" s="99"/>
      <c r="I27" s="99"/>
      <c r="J27" s="90"/>
      <c r="K27" s="90"/>
      <c r="L27" s="38"/>
    </row>
    <row r="28" spans="1:33" x14ac:dyDescent="0.2">
      <c r="A28" s="54"/>
      <c r="B28" s="54"/>
      <c r="C28" s="54"/>
      <c r="D28" s="111"/>
      <c r="E28" s="116" t="s">
        <v>550</v>
      </c>
      <c r="F28" s="54">
        <v>10.26</v>
      </c>
      <c r="G28" s="54" t="s">
        <v>545</v>
      </c>
      <c r="H28" s="54"/>
      <c r="I28" s="111" t="s">
        <v>788</v>
      </c>
      <c r="AG28" s="23"/>
    </row>
    <row r="29" spans="1:33" x14ac:dyDescent="0.2">
      <c r="A29" s="54"/>
      <c r="B29" s="54"/>
      <c r="C29" s="54"/>
      <c r="D29" s="54"/>
      <c r="E29" s="115" t="s">
        <v>552</v>
      </c>
      <c r="F29" s="111">
        <f>15*12+8</f>
        <v>188</v>
      </c>
      <c r="G29" s="54" t="s">
        <v>425</v>
      </c>
      <c r="H29" s="54"/>
      <c r="I29" s="111" t="s">
        <v>789</v>
      </c>
    </row>
    <row r="30" spans="1:33" x14ac:dyDescent="0.2">
      <c r="A30" s="54"/>
      <c r="B30" s="54"/>
      <c r="C30" s="54"/>
      <c r="D30" s="54"/>
      <c r="E30" s="116" t="s">
        <v>551</v>
      </c>
      <c r="F30" s="54">
        <f>F29/12</f>
        <v>15.666666666666666</v>
      </c>
      <c r="G30" s="54" t="s">
        <v>546</v>
      </c>
      <c r="H30" s="54"/>
      <c r="I30" s="38"/>
    </row>
    <row r="31" spans="1:33" x14ac:dyDescent="0.2">
      <c r="A31" s="54"/>
      <c r="B31" s="54"/>
      <c r="C31" s="54"/>
      <c r="D31" s="54"/>
      <c r="E31" s="115" t="s">
        <v>553</v>
      </c>
      <c r="F31" s="54" t="s">
        <v>547</v>
      </c>
      <c r="G31" s="54" t="s">
        <v>548</v>
      </c>
      <c r="H31" s="54"/>
      <c r="I31" s="38" t="s">
        <v>790</v>
      </c>
    </row>
    <row r="32" spans="1:33" x14ac:dyDescent="0.2">
      <c r="A32" s="54"/>
      <c r="B32" s="54"/>
      <c r="C32" s="54"/>
      <c r="D32" s="54"/>
      <c r="E32" s="115" t="s">
        <v>554</v>
      </c>
      <c r="F32" s="54">
        <f>AVERAGE(5,6.6)</f>
        <v>5.8</v>
      </c>
      <c r="G32" s="54" t="s">
        <v>426</v>
      </c>
      <c r="H32" s="54"/>
      <c r="I32" s="38"/>
    </row>
    <row r="33" spans="1:9" x14ac:dyDescent="0.2">
      <c r="A33" s="54"/>
      <c r="B33" s="54"/>
      <c r="C33" s="54"/>
      <c r="D33" s="54"/>
      <c r="E33" s="115" t="s">
        <v>555</v>
      </c>
      <c r="F33" s="54">
        <f>F32*F30*Conversions!D10/Conversions!D11</f>
        <v>11.014141414141413</v>
      </c>
      <c r="G33" s="54" t="s">
        <v>427</v>
      </c>
      <c r="H33" s="54"/>
      <c r="I33" s="38"/>
    </row>
    <row r="34" spans="1:9" x14ac:dyDescent="0.2">
      <c r="A34" s="54"/>
      <c r="B34" s="54"/>
      <c r="C34" s="54"/>
      <c r="D34" s="54"/>
      <c r="E34" s="115" t="s">
        <v>430</v>
      </c>
      <c r="F34" s="114">
        <f>F28/F33</f>
        <v>0.9315297138664711</v>
      </c>
      <c r="G34" s="54" t="s">
        <v>549</v>
      </c>
      <c r="H34" s="54"/>
      <c r="I34" s="38"/>
    </row>
    <row r="35" spans="1:9" x14ac:dyDescent="0.2">
      <c r="A35" s="54"/>
      <c r="B35" s="114" t="s">
        <v>744</v>
      </c>
      <c r="C35" s="114"/>
      <c r="D35" s="54"/>
      <c r="E35" s="54"/>
      <c r="F35" s="54"/>
      <c r="G35" s="54"/>
      <c r="H35" s="54"/>
      <c r="I35" s="54"/>
    </row>
    <row r="36" spans="1:9" x14ac:dyDescent="0.2">
      <c r="A36" s="54"/>
      <c r="B36" s="54"/>
      <c r="C36" s="54"/>
      <c r="D36" s="54"/>
      <c r="E36" s="116" t="s">
        <v>550</v>
      </c>
      <c r="F36" s="54">
        <v>10.26</v>
      </c>
      <c r="G36" s="54" t="s">
        <v>545</v>
      </c>
      <c r="H36" s="54"/>
      <c r="I36" s="111" t="s">
        <v>788</v>
      </c>
    </row>
    <row r="37" spans="1:9" x14ac:dyDescent="0.2">
      <c r="A37" s="54"/>
      <c r="B37" s="54"/>
      <c r="C37" s="54"/>
      <c r="D37" s="54"/>
      <c r="E37" s="115" t="s">
        <v>746</v>
      </c>
      <c r="F37" s="54">
        <f>7+10/12</f>
        <v>7.833333333333333</v>
      </c>
      <c r="G37" s="54" t="s">
        <v>546</v>
      </c>
      <c r="H37" s="54"/>
      <c r="I37" s="111" t="s">
        <v>764</v>
      </c>
    </row>
    <row r="38" spans="1:9" x14ac:dyDescent="0.2">
      <c r="A38" s="54"/>
      <c r="B38" s="54"/>
      <c r="C38" s="54"/>
      <c r="D38" s="54"/>
      <c r="E38" s="115" t="s">
        <v>747</v>
      </c>
      <c r="F38" s="54">
        <v>4</v>
      </c>
      <c r="G38" s="54" t="s">
        <v>548</v>
      </c>
      <c r="H38" s="54"/>
      <c r="I38" s="111" t="s">
        <v>24</v>
      </c>
    </row>
    <row r="39" spans="1:9" x14ac:dyDescent="0.2">
      <c r="A39" s="54"/>
      <c r="B39" s="54"/>
      <c r="C39" s="54"/>
      <c r="D39" s="54"/>
      <c r="E39" s="115" t="s">
        <v>555</v>
      </c>
      <c r="F39" s="54">
        <f>F37*F38*Conversions!D10/Conversions!D11</f>
        <v>3.797979797979798</v>
      </c>
      <c r="G39" s="54" t="s">
        <v>427</v>
      </c>
      <c r="H39" s="54"/>
      <c r="I39" s="38"/>
    </row>
    <row r="40" spans="1:9" x14ac:dyDescent="0.2">
      <c r="A40" s="54"/>
      <c r="B40" s="54"/>
      <c r="C40" s="54"/>
      <c r="D40" s="54"/>
      <c r="E40" s="115" t="s">
        <v>430</v>
      </c>
      <c r="F40" s="54">
        <f>F36/F39</f>
        <v>2.7014361702127658</v>
      </c>
      <c r="G40" s="54" t="s">
        <v>549</v>
      </c>
      <c r="H40" s="54"/>
      <c r="I40" s="38"/>
    </row>
    <row r="41" spans="1:9" x14ac:dyDescent="0.2">
      <c r="A41" s="54"/>
      <c r="B41" s="114" t="s">
        <v>557</v>
      </c>
      <c r="C41" s="54"/>
      <c r="D41" s="54"/>
      <c r="E41" s="54"/>
      <c r="F41" s="54"/>
      <c r="G41" s="54"/>
      <c r="H41" s="54"/>
      <c r="I41" s="54"/>
    </row>
    <row r="42" spans="1:9" x14ac:dyDescent="0.2">
      <c r="A42" s="54"/>
      <c r="B42" s="54"/>
      <c r="C42" s="54"/>
      <c r="D42" s="54"/>
      <c r="E42" s="115" t="s">
        <v>565</v>
      </c>
      <c r="F42" s="54">
        <f>F34*2+F40</f>
        <v>4.564495597945708</v>
      </c>
      <c r="G42" s="54" t="s">
        <v>558</v>
      </c>
      <c r="H42" s="54"/>
      <c r="I42" s="111" t="s">
        <v>791</v>
      </c>
    </row>
    <row r="43" spans="1:9" x14ac:dyDescent="0.2">
      <c r="A43" s="54"/>
      <c r="B43" s="54"/>
      <c r="C43" s="54"/>
      <c r="D43" s="54"/>
      <c r="E43" s="115" t="s">
        <v>754</v>
      </c>
      <c r="F43" s="54">
        <v>30</v>
      </c>
      <c r="G43" s="54" t="s">
        <v>559</v>
      </c>
      <c r="H43" s="54"/>
      <c r="I43" s="111" t="s">
        <v>25</v>
      </c>
    </row>
    <row r="44" spans="1:9" x14ac:dyDescent="0.2">
      <c r="A44" s="54"/>
      <c r="B44" s="54"/>
      <c r="C44" s="54"/>
      <c r="D44" s="54"/>
      <c r="E44" s="116" t="s">
        <v>755</v>
      </c>
      <c r="F44" s="54">
        <f>Yield_SRWC!B5</f>
        <v>13</v>
      </c>
      <c r="G44" s="54" t="s">
        <v>559</v>
      </c>
      <c r="H44" s="54"/>
      <c r="I44" s="111" t="s">
        <v>47</v>
      </c>
    </row>
    <row r="45" spans="1:9" x14ac:dyDescent="0.2">
      <c r="A45" s="54"/>
      <c r="B45" s="54"/>
      <c r="C45" s="54"/>
      <c r="D45" s="54"/>
      <c r="E45" s="116" t="s">
        <v>562</v>
      </c>
      <c r="F45" s="54">
        <f>F43/F44</f>
        <v>2.3076923076923075</v>
      </c>
      <c r="G45" s="241"/>
      <c r="H45" s="54"/>
      <c r="I45" s="38"/>
    </row>
    <row r="46" spans="1:9" x14ac:dyDescent="0.2">
      <c r="A46" s="54"/>
      <c r="B46" s="54"/>
      <c r="C46" s="54"/>
      <c r="D46" s="54"/>
      <c r="E46" s="115" t="s">
        <v>566</v>
      </c>
      <c r="F46" s="54">
        <f>F45*F42</f>
        <v>10.533451379874711</v>
      </c>
      <c r="G46" s="54" t="s">
        <v>560</v>
      </c>
      <c r="H46" s="54"/>
      <c r="I46" s="38"/>
    </row>
    <row r="47" spans="1:9" x14ac:dyDescent="0.2">
      <c r="A47" s="54"/>
      <c r="B47" s="54"/>
      <c r="C47" s="54"/>
      <c r="D47" s="54"/>
      <c r="E47" s="116" t="s">
        <v>563</v>
      </c>
      <c r="F47" s="54">
        <f>F46*Conversions!D8</f>
        <v>39.873450937434988</v>
      </c>
      <c r="G47" s="54" t="s">
        <v>561</v>
      </c>
      <c r="H47" s="54"/>
      <c r="I47" s="38"/>
    </row>
    <row r="48" spans="1:9" x14ac:dyDescent="0.2">
      <c r="A48" s="54"/>
      <c r="B48" s="54"/>
      <c r="C48" s="54"/>
      <c r="D48" s="54"/>
      <c r="E48" s="116" t="s">
        <v>564</v>
      </c>
      <c r="F48" s="119">
        <f>F47/F43</f>
        <v>1.329115031247833</v>
      </c>
      <c r="G48" s="54" t="s">
        <v>428</v>
      </c>
      <c r="H48" s="54"/>
      <c r="I48" s="38"/>
    </row>
    <row r="49" spans="1:14" x14ac:dyDescent="0.2">
      <c r="A49" s="54"/>
      <c r="B49" s="54"/>
      <c r="C49" s="54"/>
      <c r="D49" s="54"/>
      <c r="E49" s="115" t="s">
        <v>17</v>
      </c>
      <c r="F49" s="174">
        <f>F48/F53</f>
        <v>5.2324947588003844E-4</v>
      </c>
      <c r="G49" s="114" t="s">
        <v>756</v>
      </c>
      <c r="H49" s="54"/>
      <c r="I49" s="38"/>
    </row>
    <row r="50" spans="1:14" x14ac:dyDescent="0.2">
      <c r="A50" s="54"/>
      <c r="B50" s="54"/>
      <c r="C50" s="54"/>
      <c r="D50" s="54"/>
      <c r="E50" s="54"/>
      <c r="F50" s="54"/>
      <c r="G50" s="54"/>
      <c r="H50" s="54"/>
      <c r="I50" s="54"/>
    </row>
    <row r="51" spans="1:14" ht="15" x14ac:dyDescent="0.2">
      <c r="A51" s="124" t="s">
        <v>784</v>
      </c>
      <c r="B51" s="54"/>
      <c r="C51" s="54"/>
      <c r="D51" s="54"/>
      <c r="E51" s="54"/>
      <c r="F51" s="54"/>
      <c r="G51" s="54"/>
      <c r="H51" s="54"/>
      <c r="I51" s="54"/>
      <c r="L51" s="38"/>
    </row>
    <row r="52" spans="1:14" ht="15" x14ac:dyDescent="0.2">
      <c r="A52" s="177"/>
      <c r="B52" s="180" t="s">
        <v>765</v>
      </c>
      <c r="C52" s="112"/>
      <c r="D52" s="112"/>
      <c r="E52" s="113"/>
      <c r="F52" s="112"/>
      <c r="G52" s="112"/>
      <c r="H52" s="112"/>
      <c r="I52" s="112"/>
      <c r="J52" s="112"/>
      <c r="L52" s="38" t="s">
        <v>764</v>
      </c>
    </row>
    <row r="53" spans="1:14" ht="15" x14ac:dyDescent="0.2">
      <c r="A53" s="177"/>
      <c r="B53" s="112"/>
      <c r="C53" s="112"/>
      <c r="D53" s="112"/>
      <c r="E53" s="113"/>
      <c r="F53" s="179">
        <f>M58*Conversions!D22</f>
        <v>2540.117272</v>
      </c>
      <c r="G53" s="111" t="s">
        <v>452</v>
      </c>
      <c r="H53" s="112"/>
      <c r="I53" s="112" t="s">
        <v>764</v>
      </c>
      <c r="J53" s="112"/>
      <c r="L53" s="178" t="s">
        <v>763</v>
      </c>
      <c r="M53" s="178" t="s">
        <v>762</v>
      </c>
      <c r="N53" s="178" t="s">
        <v>761</v>
      </c>
    </row>
    <row r="54" spans="1:14" ht="15" x14ac:dyDescent="0.2">
      <c r="A54" s="177"/>
      <c r="B54" s="112"/>
      <c r="C54" s="112"/>
      <c r="D54" s="112"/>
      <c r="E54" s="113"/>
      <c r="F54" s="176">
        <f>F53*F43</f>
        <v>76203.518159999992</v>
      </c>
      <c r="G54" s="111" t="s">
        <v>760</v>
      </c>
      <c r="H54" s="112"/>
      <c r="I54" s="112" t="s">
        <v>25</v>
      </c>
      <c r="J54" s="112"/>
      <c r="L54" s="60">
        <v>1</v>
      </c>
      <c r="M54" s="141">
        <v>1.9</v>
      </c>
      <c r="N54" s="60" t="s">
        <v>757</v>
      </c>
    </row>
    <row r="55" spans="1:14" ht="15.75" x14ac:dyDescent="0.2">
      <c r="A55" s="175"/>
      <c r="B55" s="112"/>
      <c r="C55" s="112"/>
      <c r="D55" s="112"/>
      <c r="E55" s="113"/>
      <c r="F55" s="173"/>
      <c r="G55" s="112"/>
      <c r="H55" s="112"/>
      <c r="I55" s="112"/>
      <c r="J55" s="112"/>
      <c r="L55" s="60">
        <v>2</v>
      </c>
      <c r="M55" s="141">
        <v>2.6</v>
      </c>
      <c r="N55" s="60" t="s">
        <v>757</v>
      </c>
    </row>
    <row r="56" spans="1:14" x14ac:dyDescent="0.2">
      <c r="A56" s="175"/>
      <c r="B56" s="114" t="s">
        <v>18</v>
      </c>
      <c r="C56" s="112"/>
      <c r="D56" s="112"/>
      <c r="E56" s="113"/>
      <c r="H56" s="112"/>
      <c r="J56" s="112"/>
      <c r="L56" s="60">
        <v>3</v>
      </c>
      <c r="M56" s="141">
        <v>2.85</v>
      </c>
      <c r="N56" s="60" t="s">
        <v>757</v>
      </c>
    </row>
    <row r="57" spans="1:14" x14ac:dyDescent="0.2">
      <c r="A57" s="175"/>
      <c r="B57" s="54"/>
      <c r="C57" s="112"/>
      <c r="D57" s="112"/>
      <c r="E57" s="112"/>
      <c r="F57" s="111">
        <v>4000</v>
      </c>
      <c r="G57" s="111" t="s">
        <v>759</v>
      </c>
      <c r="H57" s="112"/>
      <c r="I57" s="112" t="s">
        <v>26</v>
      </c>
      <c r="J57" s="112"/>
      <c r="L57" s="60">
        <v>4</v>
      </c>
      <c r="M57" s="141">
        <v>3.85</v>
      </c>
      <c r="N57" s="60" t="s">
        <v>757</v>
      </c>
    </row>
    <row r="58" spans="1:14" x14ac:dyDescent="0.2">
      <c r="A58" s="175"/>
      <c r="B58" s="112"/>
      <c r="C58" s="112"/>
      <c r="D58" s="112"/>
      <c r="E58" s="112"/>
      <c r="F58" s="119">
        <f>F57*Conversions!D22</f>
        <v>3628738.96</v>
      </c>
      <c r="G58" s="143" t="s">
        <v>758</v>
      </c>
      <c r="H58" s="112"/>
      <c r="I58" s="112" t="s">
        <v>27</v>
      </c>
      <c r="J58" s="112"/>
      <c r="L58" s="32" t="s">
        <v>570</v>
      </c>
      <c r="M58" s="32">
        <f>AVERAGE(M54:M57)</f>
        <v>2.8</v>
      </c>
      <c r="N58" s="32" t="s">
        <v>757</v>
      </c>
    </row>
    <row r="59" spans="1:14" x14ac:dyDescent="0.2">
      <c r="A59" s="175"/>
      <c r="B59" s="112"/>
      <c r="C59" s="112"/>
      <c r="D59" s="112"/>
      <c r="E59" s="112"/>
      <c r="F59" s="54"/>
      <c r="G59" s="54"/>
      <c r="H59" s="112"/>
      <c r="I59" s="112"/>
      <c r="J59" s="112"/>
    </row>
    <row r="60" spans="1:14" x14ac:dyDescent="0.2">
      <c r="A60" s="38"/>
      <c r="B60" s="38"/>
      <c r="C60" s="107"/>
      <c r="D60" s="107"/>
      <c r="E60" s="107"/>
      <c r="F60" s="108"/>
      <c r="G60" s="107"/>
      <c r="H60" s="107"/>
      <c r="I60" s="107"/>
      <c r="J60" s="38"/>
    </row>
  </sheetData>
  <customSheetViews>
    <customSheetView guid="{A8892CA7-9094-4C03-B23A-DC3610B7C783}">
      <selection activeCell="H7" sqref="H7"/>
      <pageMargins left="0.75" right="0.75" top="1" bottom="1" header="0.5" footer="0.5"/>
      <pageSetup orientation="portrait" r:id="rId1"/>
      <headerFooter alignWithMargins="0"/>
    </customSheetView>
  </customSheetViews>
  <phoneticPr fontId="45" type="noConversion"/>
  <pageMargins left="0.75" right="0.75" top="1" bottom="1" header="0.5" footer="0.5"/>
  <pageSetup scale="75" pageOrder="overThenDown" orientation="landscape" r:id="rId2"/>
  <headerFooter alignWithMargins="0"/>
  <rowBreaks count="4" manualBreakCount="4">
    <brk id="60" max="16383" man="1"/>
    <brk id="102" max="16383" man="1"/>
    <brk id="143" max="16383" man="1"/>
    <brk id="185" max="16383"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G7" sqref="A7:G7"/>
    </sheetView>
  </sheetViews>
  <sheetFormatPr defaultRowHeight="12.75" x14ac:dyDescent="0.2"/>
  <cols>
    <col min="1" max="1" width="17.140625" customWidth="1"/>
  </cols>
  <sheetData>
    <row r="1" spans="1:14" ht="20.25" x14ac:dyDescent="0.2">
      <c r="H1" s="284" t="s">
        <v>871</v>
      </c>
    </row>
    <row r="2" spans="1:14" s="84" customFormat="1" ht="20.25" x14ac:dyDescent="0.3">
      <c r="A2" s="248" t="s">
        <v>340</v>
      </c>
      <c r="B2" s="248"/>
      <c r="C2" s="248"/>
      <c r="D2" s="248"/>
      <c r="E2" s="248"/>
      <c r="F2" s="248"/>
      <c r="G2" s="248"/>
      <c r="H2" s="248"/>
      <c r="I2" s="248" t="s">
        <v>206</v>
      </c>
    </row>
    <row r="3" spans="1:14" ht="15" x14ac:dyDescent="0.25">
      <c r="A3" s="105"/>
      <c r="L3" s="182"/>
      <c r="M3" s="182"/>
      <c r="N3" s="182"/>
    </row>
    <row r="4" spans="1:14" x14ac:dyDescent="0.2">
      <c r="A4" s="1" t="s">
        <v>872</v>
      </c>
      <c r="E4" s="86"/>
      <c r="F4" s="20"/>
      <c r="L4" s="185"/>
      <c r="M4" s="185"/>
      <c r="N4" s="185"/>
    </row>
    <row r="5" spans="1:14" x14ac:dyDescent="0.2">
      <c r="L5" s="185"/>
      <c r="M5" s="185"/>
      <c r="N5" s="185"/>
    </row>
    <row r="6" spans="1:14" x14ac:dyDescent="0.2">
      <c r="L6" s="185"/>
      <c r="M6" s="185"/>
      <c r="N6" s="185"/>
    </row>
    <row r="7" spans="1:14" x14ac:dyDescent="0.2">
      <c r="A7" s="260" t="s">
        <v>421</v>
      </c>
      <c r="B7" s="260" t="s">
        <v>232</v>
      </c>
      <c r="C7" s="260" t="s">
        <v>239</v>
      </c>
      <c r="D7" s="260" t="s">
        <v>54</v>
      </c>
      <c r="E7" s="260"/>
      <c r="F7" s="260"/>
      <c r="G7" s="260" t="s">
        <v>343</v>
      </c>
    </row>
    <row r="8" spans="1:14" x14ac:dyDescent="0.2">
      <c r="A8" s="38" t="s">
        <v>153</v>
      </c>
      <c r="B8">
        <f>AVERAGE(2,4)</f>
        <v>3</v>
      </c>
      <c r="C8" s="38" t="s">
        <v>154</v>
      </c>
      <c r="G8" s="38" t="s">
        <v>151</v>
      </c>
      <c r="I8" s="38" t="s">
        <v>877</v>
      </c>
    </row>
    <row r="9" spans="1:14" x14ac:dyDescent="0.2">
      <c r="A9" s="38" t="s">
        <v>153</v>
      </c>
      <c r="B9">
        <f>B8/Conversions!D4</f>
        <v>1.3607774938288739</v>
      </c>
      <c r="C9" s="38" t="s">
        <v>400</v>
      </c>
    </row>
  </sheetData>
  <phoneticPr fontId="4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opLeftCell="A19" workbookViewId="0">
      <selection activeCell="K45" sqref="A43:K45"/>
    </sheetView>
  </sheetViews>
  <sheetFormatPr defaultRowHeight="12.75" x14ac:dyDescent="0.2"/>
  <cols>
    <col min="1" max="1" width="25.42578125" customWidth="1"/>
  </cols>
  <sheetData>
    <row r="1" spans="1:14" ht="20.25" x14ac:dyDescent="0.2">
      <c r="H1" s="284" t="s">
        <v>869</v>
      </c>
    </row>
    <row r="2" spans="1:14" s="84" customFormat="1" ht="20.25" x14ac:dyDescent="0.3">
      <c r="A2" s="248" t="s">
        <v>340</v>
      </c>
      <c r="B2" s="248"/>
      <c r="C2" s="248"/>
      <c r="D2" s="248"/>
      <c r="E2" s="248"/>
      <c r="F2" s="248"/>
      <c r="G2" s="248"/>
      <c r="H2" s="248"/>
      <c r="I2" s="248" t="s">
        <v>206</v>
      </c>
    </row>
    <row r="3" spans="1:14" x14ac:dyDescent="0.2">
      <c r="B3" s="1" t="s">
        <v>130</v>
      </c>
      <c r="E3" s="54"/>
      <c r="F3" s="54"/>
      <c r="G3" s="38"/>
      <c r="H3" s="54"/>
      <c r="I3" s="38"/>
      <c r="L3" s="38"/>
      <c r="M3" s="145"/>
      <c r="N3" s="151"/>
    </row>
    <row r="4" spans="1:14" s="260" customFormat="1" x14ac:dyDescent="0.2">
      <c r="A4" s="260" t="s">
        <v>421</v>
      </c>
      <c r="B4" s="260" t="s">
        <v>232</v>
      </c>
      <c r="C4" s="260" t="s">
        <v>239</v>
      </c>
      <c r="D4" s="260" t="s">
        <v>54</v>
      </c>
      <c r="E4" s="264"/>
      <c r="F4" s="264"/>
      <c r="G4" s="260" t="s">
        <v>343</v>
      </c>
      <c r="H4" s="264"/>
      <c r="M4" s="265"/>
      <c r="N4" s="266"/>
    </row>
    <row r="5" spans="1:14" x14ac:dyDescent="0.2">
      <c r="A5" s="38" t="s">
        <v>132</v>
      </c>
      <c r="B5" s="38">
        <f>AVERAGE(40,50)</f>
        <v>45</v>
      </c>
      <c r="C5" s="38" t="s">
        <v>140</v>
      </c>
      <c r="E5" s="54"/>
      <c r="F5" s="54"/>
      <c r="G5" s="38"/>
      <c r="H5" s="54"/>
      <c r="I5" s="38" t="s">
        <v>865</v>
      </c>
      <c r="L5" s="23"/>
      <c r="M5" s="145"/>
      <c r="N5" s="151"/>
    </row>
    <row r="6" spans="1:14" x14ac:dyDescent="0.2">
      <c r="A6" s="38" t="s">
        <v>133</v>
      </c>
      <c r="B6" s="38">
        <f>AVERAGE(175,200)</f>
        <v>187.5</v>
      </c>
      <c r="C6" s="38" t="s">
        <v>140</v>
      </c>
      <c r="E6" s="54"/>
      <c r="F6" s="54"/>
      <c r="G6" s="38"/>
      <c r="H6" s="54"/>
      <c r="I6" s="38" t="s">
        <v>865</v>
      </c>
      <c r="L6" s="23"/>
      <c r="M6" s="145"/>
      <c r="N6" s="151"/>
    </row>
    <row r="7" spans="1:14" x14ac:dyDescent="0.2">
      <c r="A7" s="38" t="s">
        <v>131</v>
      </c>
      <c r="B7" s="38">
        <f>SUM(B5:B6)</f>
        <v>232.5</v>
      </c>
      <c r="C7" s="38" t="s">
        <v>140</v>
      </c>
      <c r="E7" s="54"/>
      <c r="F7" s="54"/>
      <c r="G7" s="38"/>
      <c r="H7" s="54"/>
      <c r="I7" s="38" t="s">
        <v>865</v>
      </c>
      <c r="L7" s="23"/>
      <c r="M7" s="145"/>
      <c r="N7" s="151"/>
    </row>
    <row r="8" spans="1:14" x14ac:dyDescent="0.2">
      <c r="B8" s="1"/>
      <c r="E8" s="54"/>
      <c r="F8" s="54"/>
      <c r="G8" s="38"/>
      <c r="H8" s="54"/>
      <c r="I8" s="38"/>
      <c r="L8" s="38"/>
      <c r="M8" s="145"/>
      <c r="N8" s="151"/>
    </row>
    <row r="9" spans="1:14" x14ac:dyDescent="0.2">
      <c r="A9" s="38" t="s">
        <v>134</v>
      </c>
      <c r="B9" s="38">
        <f>AVERAGE(25,50)</f>
        <v>37.5</v>
      </c>
      <c r="C9" s="38" t="s">
        <v>141</v>
      </c>
      <c r="E9" s="54"/>
      <c r="F9" s="54"/>
      <c r="G9" s="38"/>
      <c r="H9" s="54"/>
      <c r="I9" s="38" t="s">
        <v>865</v>
      </c>
      <c r="L9" s="23"/>
      <c r="M9" s="145"/>
      <c r="N9" s="151"/>
    </row>
    <row r="10" spans="1:14" x14ac:dyDescent="0.2">
      <c r="A10" s="38" t="s">
        <v>135</v>
      </c>
      <c r="B10" s="38">
        <f>AVERAGE(25,50)</f>
        <v>37.5</v>
      </c>
      <c r="C10" s="38" t="s">
        <v>141</v>
      </c>
      <c r="E10" s="54"/>
      <c r="F10" s="54"/>
      <c r="G10" s="38"/>
      <c r="H10" s="54"/>
      <c r="I10" s="38" t="s">
        <v>865</v>
      </c>
      <c r="L10" s="23"/>
      <c r="M10" s="145"/>
      <c r="N10" s="151"/>
    </row>
    <row r="11" spans="1:14" x14ac:dyDescent="0.2">
      <c r="A11" s="38" t="s">
        <v>136</v>
      </c>
      <c r="B11" s="38">
        <f>SUM(B9:B10)</f>
        <v>75</v>
      </c>
      <c r="C11" s="38" t="s">
        <v>141</v>
      </c>
      <c r="E11" s="54"/>
      <c r="F11" s="54"/>
      <c r="G11" s="38"/>
      <c r="H11" s="54"/>
      <c r="I11" s="38" t="s">
        <v>865</v>
      </c>
      <c r="L11" s="23"/>
      <c r="M11" s="145"/>
      <c r="N11" s="151"/>
    </row>
    <row r="12" spans="1:14" x14ac:dyDescent="0.2">
      <c r="A12" s="38"/>
      <c r="B12" s="1"/>
      <c r="E12" s="54"/>
      <c r="F12" s="54"/>
      <c r="G12" s="38"/>
      <c r="H12" s="54"/>
      <c r="I12" s="38"/>
      <c r="L12" s="38"/>
      <c r="M12" s="145"/>
      <c r="N12" s="151"/>
    </row>
    <row r="13" spans="1:14" x14ac:dyDescent="0.2">
      <c r="A13" s="38" t="s">
        <v>137</v>
      </c>
      <c r="B13" s="38">
        <f>AVERAGE(50,80)</f>
        <v>65</v>
      </c>
      <c r="C13" s="38" t="s">
        <v>142</v>
      </c>
      <c r="E13" s="54"/>
      <c r="F13" s="54"/>
      <c r="G13" s="38"/>
      <c r="H13" s="54"/>
      <c r="I13" s="38" t="s">
        <v>865</v>
      </c>
      <c r="L13" s="23"/>
      <c r="M13" s="145"/>
      <c r="N13" s="151"/>
    </row>
    <row r="14" spans="1:14" x14ac:dyDescent="0.2">
      <c r="A14" s="38" t="s">
        <v>138</v>
      </c>
      <c r="B14" s="38">
        <f>AVERAGE(50,80)</f>
        <v>65</v>
      </c>
      <c r="C14" s="38" t="s">
        <v>142</v>
      </c>
      <c r="E14" s="54"/>
      <c r="F14" s="54"/>
      <c r="G14" s="38"/>
      <c r="H14" s="54"/>
      <c r="I14" s="38" t="s">
        <v>865</v>
      </c>
      <c r="L14" s="23"/>
      <c r="M14" s="145"/>
      <c r="N14" s="151"/>
    </row>
    <row r="15" spans="1:14" x14ac:dyDescent="0.2">
      <c r="A15" s="38" t="s">
        <v>139</v>
      </c>
      <c r="B15" s="38">
        <f>SUM(B13:B14)</f>
        <v>130</v>
      </c>
      <c r="C15" s="38" t="s">
        <v>142</v>
      </c>
      <c r="E15" s="54"/>
      <c r="F15" s="54"/>
      <c r="G15" s="38"/>
      <c r="H15" s="54"/>
      <c r="I15" s="38" t="s">
        <v>865</v>
      </c>
      <c r="L15" s="23"/>
      <c r="M15" s="145"/>
      <c r="N15" s="151"/>
    </row>
    <row r="16" spans="1:14" x14ac:dyDescent="0.2">
      <c r="A16" s="38"/>
      <c r="B16" s="38"/>
      <c r="E16" s="54"/>
      <c r="F16" s="54"/>
      <c r="G16" s="38"/>
      <c r="H16" s="54"/>
      <c r="I16" s="38"/>
      <c r="L16" s="38"/>
      <c r="M16" s="145"/>
      <c r="N16" s="151"/>
    </row>
    <row r="17" spans="1:15" x14ac:dyDescent="0.2">
      <c r="A17" s="38"/>
      <c r="B17" s="1"/>
      <c r="E17" s="54"/>
      <c r="F17" s="54"/>
      <c r="G17" s="38"/>
      <c r="H17" s="54"/>
      <c r="I17" s="38"/>
      <c r="L17" s="38"/>
      <c r="M17" s="145"/>
      <c r="N17" s="151"/>
    </row>
    <row r="18" spans="1:15" x14ac:dyDescent="0.2">
      <c r="A18" s="38"/>
      <c r="B18" s="1"/>
      <c r="E18" s="54"/>
      <c r="F18" s="54"/>
      <c r="G18" s="38"/>
      <c r="H18" s="54"/>
      <c r="I18" s="38"/>
      <c r="L18" s="38"/>
      <c r="M18" s="145"/>
      <c r="N18" s="151"/>
    </row>
    <row r="19" spans="1:15" x14ac:dyDescent="0.2">
      <c r="A19" s="38"/>
      <c r="B19" s="1"/>
      <c r="E19" s="54"/>
      <c r="F19" s="54"/>
      <c r="G19" s="38"/>
      <c r="H19" s="54"/>
      <c r="I19" s="38"/>
      <c r="L19" s="38"/>
      <c r="M19" s="145"/>
      <c r="N19" s="151"/>
    </row>
    <row r="20" spans="1:15" x14ac:dyDescent="0.2">
      <c r="A20" s="38"/>
      <c r="B20" s="1"/>
      <c r="E20" s="54"/>
      <c r="F20" s="54"/>
      <c r="G20" s="38"/>
      <c r="H20" s="54"/>
      <c r="I20" s="38"/>
      <c r="L20" s="38"/>
      <c r="M20" s="145"/>
      <c r="N20" s="151"/>
    </row>
    <row r="21" spans="1:15" x14ac:dyDescent="0.2">
      <c r="A21" s="38"/>
      <c r="B21" s="1"/>
      <c r="E21" s="54"/>
      <c r="F21" s="54"/>
      <c r="G21" s="38"/>
      <c r="H21" s="54"/>
      <c r="I21" s="38"/>
      <c r="L21" s="38"/>
      <c r="M21" s="145"/>
      <c r="N21" s="151"/>
    </row>
    <row r="22" spans="1:15" x14ac:dyDescent="0.2">
      <c r="A22" s="38"/>
      <c r="B22" s="1"/>
      <c r="E22" s="54"/>
      <c r="F22" s="54"/>
      <c r="G22" s="38"/>
      <c r="H22" s="54"/>
      <c r="I22" s="38"/>
      <c r="L22" s="38"/>
      <c r="M22" s="145"/>
      <c r="N22" s="151"/>
    </row>
    <row r="23" spans="1:15" x14ac:dyDescent="0.2">
      <c r="A23" s="38"/>
      <c r="B23" s="1"/>
      <c r="E23" s="54"/>
      <c r="F23" s="54"/>
      <c r="G23" s="38"/>
      <c r="H23" s="54"/>
      <c r="I23" s="38"/>
      <c r="L23" s="38"/>
      <c r="M23" s="145"/>
      <c r="N23" s="151"/>
    </row>
    <row r="24" spans="1:15" x14ac:dyDescent="0.2">
      <c r="A24" s="38"/>
      <c r="B24" s="1"/>
      <c r="E24" s="54"/>
      <c r="F24" s="54"/>
      <c r="G24" s="38"/>
      <c r="H24" s="54"/>
      <c r="I24" s="38"/>
      <c r="L24" s="38"/>
      <c r="M24" s="145"/>
      <c r="N24" s="151"/>
    </row>
    <row r="25" spans="1:15" x14ac:dyDescent="0.2">
      <c r="A25" s="38"/>
      <c r="B25" s="1"/>
      <c r="E25" s="54"/>
      <c r="F25" s="54"/>
      <c r="G25" s="38"/>
      <c r="H25" s="54"/>
      <c r="I25" s="38"/>
      <c r="L25" s="38"/>
      <c r="M25" s="145"/>
      <c r="N25" s="151"/>
    </row>
    <row r="26" spans="1:15" x14ac:dyDescent="0.2">
      <c r="B26" s="1"/>
      <c r="E26" s="54"/>
      <c r="F26" s="54"/>
      <c r="G26" s="38"/>
      <c r="H26" s="54"/>
      <c r="I26" s="38"/>
      <c r="L26" s="38"/>
      <c r="M26" s="145"/>
      <c r="N26" s="151"/>
    </row>
    <row r="27" spans="1:15" x14ac:dyDescent="0.2">
      <c r="A27" s="119">
        <f>B7</f>
        <v>232.5</v>
      </c>
      <c r="B27" s="38" t="s">
        <v>773</v>
      </c>
      <c r="E27" s="54"/>
      <c r="H27" s="54"/>
      <c r="I27" s="38"/>
      <c r="M27" s="152" t="s">
        <v>653</v>
      </c>
      <c r="N27" s="152" t="s">
        <v>654</v>
      </c>
      <c r="O27" s="152" t="s">
        <v>431</v>
      </c>
    </row>
    <row r="28" spans="1:15" x14ac:dyDescent="0.2">
      <c r="A28" s="143">
        <f>A27/C_Diesel!F53</f>
        <v>9.1531207067828635E-2</v>
      </c>
      <c r="B28" s="38" t="s">
        <v>587</v>
      </c>
      <c r="E28" s="54"/>
      <c r="H28" s="54"/>
      <c r="I28" s="38"/>
      <c r="M28" s="181" t="s">
        <v>769</v>
      </c>
      <c r="N28" s="181" t="s">
        <v>770</v>
      </c>
      <c r="O28" s="181" t="s">
        <v>771</v>
      </c>
    </row>
    <row r="29" spans="1:15" x14ac:dyDescent="0.2">
      <c r="A29" s="143"/>
      <c r="B29" s="143"/>
      <c r="C29" s="20"/>
      <c r="D29" s="20"/>
      <c r="E29" s="142"/>
      <c r="H29" s="143"/>
      <c r="I29" s="85"/>
    </row>
    <row r="30" spans="1:15" x14ac:dyDescent="0.2">
      <c r="A30" s="1" t="s">
        <v>870</v>
      </c>
      <c r="C30" s="54"/>
      <c r="D30" s="54"/>
      <c r="H30" s="111"/>
      <c r="I30" s="111"/>
      <c r="M30" s="187" t="s">
        <v>575</v>
      </c>
      <c r="N30" s="178" t="s">
        <v>214</v>
      </c>
      <c r="O30" s="178" t="s">
        <v>235</v>
      </c>
    </row>
    <row r="31" spans="1:15" x14ac:dyDescent="0.2">
      <c r="A31">
        <f>A28*0.1*0.01</f>
        <v>9.1531207067828638E-5</v>
      </c>
      <c r="B31" s="38" t="s">
        <v>37</v>
      </c>
      <c r="C31" s="54"/>
      <c r="D31" s="54"/>
      <c r="H31" s="54"/>
      <c r="I31" s="111" t="s">
        <v>30</v>
      </c>
      <c r="M31" s="186" t="s">
        <v>766</v>
      </c>
      <c r="N31" s="141">
        <f>AVERAGE(107, 246, 168)</f>
        <v>173.66666666666666</v>
      </c>
      <c r="O31" s="141" t="s">
        <v>772</v>
      </c>
    </row>
    <row r="32" spans="1:15" x14ac:dyDescent="0.2">
      <c r="A32" s="38">
        <v>14.0067</v>
      </c>
      <c r="B32" s="38" t="s">
        <v>423</v>
      </c>
      <c r="I32" s="38"/>
      <c r="M32" s="186" t="s">
        <v>767</v>
      </c>
      <c r="N32" s="141">
        <f>AVERAGE(11,36)</f>
        <v>23.5</v>
      </c>
      <c r="O32" s="141" t="s">
        <v>772</v>
      </c>
    </row>
    <row r="33" spans="1:15" x14ac:dyDescent="0.2">
      <c r="A33" s="38">
        <v>15.999000000000001</v>
      </c>
      <c r="B33" s="38" t="s">
        <v>649</v>
      </c>
      <c r="I33" s="38"/>
      <c r="M33" s="186" t="s">
        <v>768</v>
      </c>
      <c r="N33" s="141">
        <f>AVERAGE(88,171, 91)</f>
        <v>116.66666666666667</v>
      </c>
      <c r="O33" s="141" t="s">
        <v>772</v>
      </c>
    </row>
    <row r="34" spans="1:15" x14ac:dyDescent="0.2">
      <c r="A34">
        <f>A32*2+A33</f>
        <v>44.0124</v>
      </c>
      <c r="B34" s="38" t="s">
        <v>422</v>
      </c>
      <c r="I34" s="38"/>
    </row>
    <row r="35" spans="1:15" ht="12.75" customHeight="1" x14ac:dyDescent="0.2">
      <c r="A35" s="144">
        <f>(A31*Conversions!D5)/A32</f>
        <v>6.5348159857660003E-3</v>
      </c>
      <c r="B35" s="38" t="s">
        <v>38</v>
      </c>
      <c r="I35" s="38"/>
    </row>
    <row r="36" spans="1:15" x14ac:dyDescent="0.2">
      <c r="A36">
        <f>A35</f>
        <v>6.5348159857660003E-3</v>
      </c>
      <c r="B36" s="38" t="s">
        <v>39</v>
      </c>
      <c r="I36" s="38"/>
    </row>
    <row r="37" spans="1:15" x14ac:dyDescent="0.2">
      <c r="A37">
        <f>A36*A34/Conversions!D5</f>
        <v>2.8761293509192752E-4</v>
      </c>
      <c r="B37" s="38" t="s">
        <v>650</v>
      </c>
      <c r="L37" s="182"/>
      <c r="M37" s="182"/>
      <c r="N37" s="182"/>
    </row>
    <row r="38" spans="1:15" x14ac:dyDescent="0.2">
      <c r="A38">
        <f>A28*0.9*0.0125</f>
        <v>1.0297260795130722E-3</v>
      </c>
      <c r="B38" s="38" t="s">
        <v>650</v>
      </c>
      <c r="I38" s="38" t="s">
        <v>30</v>
      </c>
      <c r="L38" s="183"/>
      <c r="M38" s="182"/>
      <c r="N38" s="182"/>
    </row>
    <row r="39" spans="1:15" x14ac:dyDescent="0.2">
      <c r="A39" s="1" t="s">
        <v>651</v>
      </c>
      <c r="L39" s="184"/>
      <c r="M39" s="184"/>
      <c r="N39" s="184"/>
    </row>
    <row r="40" spans="1:15" ht="12.75" customHeight="1" x14ac:dyDescent="0.2">
      <c r="A40" s="20">
        <f>A38+A37</f>
        <v>1.3173390146049998E-3</v>
      </c>
      <c r="B40" s="38" t="s">
        <v>650</v>
      </c>
      <c r="I40" s="38"/>
      <c r="L40" s="184"/>
      <c r="M40" s="184"/>
      <c r="N40" s="184"/>
    </row>
    <row r="41" spans="1:15" x14ac:dyDescent="0.2">
      <c r="A41" s="46">
        <f>A40*C_Diesel!F53</f>
        <v>3.3461955840776203</v>
      </c>
      <c r="B41" s="38" t="s">
        <v>652</v>
      </c>
      <c r="I41" s="38"/>
      <c r="L41" s="184"/>
      <c r="M41" s="184"/>
      <c r="N41" s="184"/>
    </row>
    <row r="42" spans="1:15" x14ac:dyDescent="0.2">
      <c r="F42" s="20"/>
      <c r="G42" s="38"/>
      <c r="I42" s="38"/>
      <c r="L42" s="184"/>
      <c r="M42" s="184"/>
      <c r="N42" s="184"/>
    </row>
    <row r="43" spans="1:15" x14ac:dyDescent="0.2">
      <c r="A43">
        <v>0.1</v>
      </c>
      <c r="B43" s="38" t="s">
        <v>1097</v>
      </c>
      <c r="I43" s="38" t="s">
        <v>1101</v>
      </c>
      <c r="L43" s="184"/>
      <c r="M43" s="184"/>
      <c r="N43" s="184"/>
    </row>
    <row r="44" spans="1:15" x14ac:dyDescent="0.2">
      <c r="A44" s="305">
        <v>0.05</v>
      </c>
      <c r="B44" s="38" t="s">
        <v>1099</v>
      </c>
      <c r="I44" s="38" t="s">
        <v>1098</v>
      </c>
    </row>
    <row r="45" spans="1:15" x14ac:dyDescent="0.2">
      <c r="A45" s="305">
        <v>0.05</v>
      </c>
      <c r="B45" s="38" t="s">
        <v>1100</v>
      </c>
      <c r="I45" s="38" t="s">
        <v>1098</v>
      </c>
    </row>
  </sheetData>
  <phoneticPr fontId="4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zoomScaleNormal="100" zoomScaleSheetLayoutView="100" workbookViewId="0">
      <selection activeCell="E36" sqref="E36"/>
    </sheetView>
  </sheetViews>
  <sheetFormatPr defaultRowHeight="12.75" x14ac:dyDescent="0.2"/>
  <cols>
    <col min="1" max="1" width="28.85546875" customWidth="1"/>
    <col min="2" max="2" width="19.42578125" customWidth="1"/>
    <col min="3" max="3" width="18.85546875" customWidth="1"/>
    <col min="4" max="4" width="12.140625" customWidth="1"/>
    <col min="5" max="5" width="27" customWidth="1"/>
    <col min="6" max="6" width="14.140625" customWidth="1"/>
    <col min="7" max="7" width="24" customWidth="1"/>
    <col min="9" max="9" width="15.5703125" customWidth="1"/>
    <col min="10" max="10" width="19.7109375" customWidth="1"/>
    <col min="11" max="11" width="14.5703125" customWidth="1"/>
  </cols>
  <sheetData>
    <row r="1" spans="1:30" ht="20.25" x14ac:dyDescent="0.2">
      <c r="A1" s="246" t="s">
        <v>52</v>
      </c>
      <c r="B1" s="142"/>
      <c r="C1" s="142"/>
      <c r="D1" s="142"/>
      <c r="E1" s="142"/>
      <c r="F1" s="142"/>
      <c r="G1" s="142"/>
      <c r="H1" s="247" t="s">
        <v>53</v>
      </c>
      <c r="I1" s="54"/>
      <c r="J1" s="20"/>
      <c r="K1" s="20"/>
      <c r="L1" s="20"/>
      <c r="M1" s="20"/>
      <c r="N1" s="20"/>
      <c r="O1" s="20"/>
      <c r="P1" s="20"/>
      <c r="Q1" s="20"/>
      <c r="R1" s="20"/>
      <c r="S1" s="20"/>
      <c r="T1" s="20"/>
      <c r="U1" s="20"/>
      <c r="V1" s="20"/>
      <c r="W1" s="20"/>
      <c r="X1" s="20"/>
      <c r="Y1" s="20"/>
      <c r="Z1" s="20"/>
      <c r="AA1" s="20"/>
      <c r="AB1" s="20"/>
      <c r="AC1" s="20"/>
      <c r="AD1" s="20"/>
    </row>
    <row r="2" spans="1:30" s="84" customFormat="1" ht="20.25" x14ac:dyDescent="0.3">
      <c r="A2" s="248" t="s">
        <v>340</v>
      </c>
      <c r="B2" s="248"/>
      <c r="C2" s="248"/>
      <c r="D2" s="248"/>
      <c r="E2" s="248"/>
      <c r="F2" s="248"/>
      <c r="G2" s="248"/>
      <c r="H2" s="248"/>
      <c r="I2" s="248" t="s">
        <v>206</v>
      </c>
    </row>
    <row r="3" spans="1:30" ht="12" customHeight="1" x14ac:dyDescent="0.2">
      <c r="A3" s="249" t="s">
        <v>421</v>
      </c>
      <c r="B3" s="249" t="s">
        <v>232</v>
      </c>
      <c r="C3" s="249" t="s">
        <v>239</v>
      </c>
      <c r="D3" s="249" t="s">
        <v>54</v>
      </c>
      <c r="E3" s="250"/>
      <c r="F3" s="249" t="s">
        <v>343</v>
      </c>
      <c r="G3" s="251"/>
      <c r="H3" s="251"/>
      <c r="I3" s="112"/>
    </row>
    <row r="4" spans="1:30" ht="12" customHeight="1" x14ac:dyDescent="0.2">
      <c r="A4" s="252" t="s">
        <v>55</v>
      </c>
      <c r="B4" s="253">
        <f>C46</f>
        <v>6350.2931800000006</v>
      </c>
      <c r="C4" s="111" t="s">
        <v>452</v>
      </c>
      <c r="D4" s="112" t="s">
        <v>56</v>
      </c>
      <c r="H4" s="112"/>
      <c r="I4" s="112"/>
    </row>
    <row r="5" spans="1:30" ht="13.5" customHeight="1" x14ac:dyDescent="0.2">
      <c r="A5" s="110" t="s">
        <v>57</v>
      </c>
      <c r="B5">
        <v>13</v>
      </c>
      <c r="C5" s="38" t="s">
        <v>559</v>
      </c>
      <c r="F5" s="38" t="s">
        <v>58</v>
      </c>
      <c r="H5" s="112"/>
    </row>
    <row r="6" spans="1:30" ht="13.5" customHeight="1" x14ac:dyDescent="0.2">
      <c r="A6" s="252" t="s">
        <v>59</v>
      </c>
      <c r="B6" s="176">
        <f>B4*13</f>
        <v>82553.811340000015</v>
      </c>
      <c r="C6" s="111" t="s">
        <v>60</v>
      </c>
      <c r="D6" s="112"/>
      <c r="F6" s="112" t="s">
        <v>58</v>
      </c>
      <c r="G6" s="112"/>
      <c r="H6" s="112"/>
      <c r="I6" s="112"/>
    </row>
    <row r="7" spans="1:30" x14ac:dyDescent="0.2">
      <c r="A7" s="175"/>
      <c r="B7" s="114"/>
      <c r="C7" s="112"/>
      <c r="D7" s="112"/>
      <c r="E7" s="113"/>
      <c r="H7" s="112"/>
    </row>
    <row r="8" spans="1:30" x14ac:dyDescent="0.2">
      <c r="A8" s="113"/>
      <c r="B8" s="111"/>
      <c r="C8" s="111"/>
      <c r="D8" s="112"/>
      <c r="H8" s="112"/>
      <c r="I8" s="112"/>
    </row>
    <row r="9" spans="1:30" x14ac:dyDescent="0.2">
      <c r="A9" s="113"/>
      <c r="B9" s="111"/>
      <c r="C9" s="143"/>
      <c r="D9" s="112"/>
      <c r="H9" s="112"/>
      <c r="I9" s="112"/>
    </row>
    <row r="10" spans="1:30" x14ac:dyDescent="0.2">
      <c r="A10" s="175"/>
      <c r="B10" s="112"/>
      <c r="C10" s="112"/>
      <c r="D10" s="112"/>
      <c r="E10" s="112"/>
      <c r="F10" s="54"/>
      <c r="G10" s="54"/>
      <c r="H10" s="112"/>
      <c r="I10" s="112"/>
    </row>
    <row r="11" spans="1:30" ht="15" x14ac:dyDescent="0.2">
      <c r="A11" s="177" t="s">
        <v>61</v>
      </c>
    </row>
    <row r="12" spans="1:30" x14ac:dyDescent="0.2">
      <c r="B12" s="38" t="s">
        <v>62</v>
      </c>
      <c r="C12" s="38" t="s">
        <v>63</v>
      </c>
      <c r="H12" s="38"/>
    </row>
    <row r="13" spans="1:30" x14ac:dyDescent="0.2">
      <c r="A13" s="38" t="s">
        <v>66</v>
      </c>
      <c r="B13">
        <v>6.48</v>
      </c>
      <c r="G13" t="s">
        <v>862</v>
      </c>
      <c r="H13" s="38" t="s">
        <v>65</v>
      </c>
    </row>
    <row r="14" spans="1:30" x14ac:dyDescent="0.2">
      <c r="A14" s="38" t="s">
        <v>67</v>
      </c>
      <c r="B14">
        <v>5.77</v>
      </c>
      <c r="G14" s="38" t="s">
        <v>862</v>
      </c>
      <c r="H14" s="38" t="s">
        <v>65</v>
      </c>
    </row>
    <row r="15" spans="1:30" x14ac:dyDescent="0.2">
      <c r="A15" s="38" t="s">
        <v>66</v>
      </c>
      <c r="B15">
        <f>150/13</f>
        <v>11.538461538461538</v>
      </c>
      <c r="D15" s="38" t="s">
        <v>68</v>
      </c>
      <c r="G15" s="38" t="s">
        <v>863</v>
      </c>
      <c r="H15" s="38" t="s">
        <v>70</v>
      </c>
    </row>
    <row r="16" spans="1:30" x14ac:dyDescent="0.2">
      <c r="A16" s="38" t="s">
        <v>71</v>
      </c>
      <c r="C16">
        <f>69.5/13</f>
        <v>5.3461538461538458</v>
      </c>
      <c r="D16" s="38" t="s">
        <v>72</v>
      </c>
      <c r="G16" s="38" t="s">
        <v>864</v>
      </c>
      <c r="H16" s="38" t="s">
        <v>74</v>
      </c>
    </row>
    <row r="17" spans="1:8" x14ac:dyDescent="0.2">
      <c r="A17" s="38" t="s">
        <v>75</v>
      </c>
      <c r="C17">
        <f>64/13</f>
        <v>4.9230769230769234</v>
      </c>
      <c r="D17" s="38" t="s">
        <v>72</v>
      </c>
      <c r="G17" s="38" t="s">
        <v>864</v>
      </c>
      <c r="H17" s="38" t="s">
        <v>74</v>
      </c>
    </row>
    <row r="18" spans="1:8" x14ac:dyDescent="0.2">
      <c r="A18" s="38" t="s">
        <v>66</v>
      </c>
      <c r="C18" s="38" t="s">
        <v>76</v>
      </c>
      <c r="D18" s="38" t="s">
        <v>77</v>
      </c>
      <c r="G18" s="38" t="s">
        <v>866</v>
      </c>
      <c r="H18" s="38" t="s">
        <v>79</v>
      </c>
    </row>
    <row r="19" spans="1:8" x14ac:dyDescent="0.2">
      <c r="A19" s="38" t="s">
        <v>66</v>
      </c>
      <c r="C19" s="38" t="s">
        <v>80</v>
      </c>
      <c r="D19" s="38" t="s">
        <v>81</v>
      </c>
      <c r="G19" s="38" t="s">
        <v>866</v>
      </c>
      <c r="H19" s="38" t="s">
        <v>79</v>
      </c>
    </row>
    <row r="20" spans="1:8" x14ac:dyDescent="0.2">
      <c r="A20" s="38" t="s">
        <v>66</v>
      </c>
      <c r="C20" s="38" t="s">
        <v>82</v>
      </c>
      <c r="D20" s="38" t="s">
        <v>83</v>
      </c>
      <c r="G20" s="38" t="s">
        <v>866</v>
      </c>
      <c r="H20" s="38" t="s">
        <v>79</v>
      </c>
    </row>
    <row r="21" spans="1:8" x14ac:dyDescent="0.2">
      <c r="A21" s="38" t="s">
        <v>66</v>
      </c>
      <c r="C21" s="38" t="s">
        <v>84</v>
      </c>
      <c r="D21" s="38" t="s">
        <v>85</v>
      </c>
      <c r="G21" s="38" t="s">
        <v>866</v>
      </c>
      <c r="H21" s="38" t="s">
        <v>79</v>
      </c>
    </row>
    <row r="22" spans="1:8" x14ac:dyDescent="0.2">
      <c r="A22" s="38" t="s">
        <v>66</v>
      </c>
      <c r="C22" s="38" t="s">
        <v>86</v>
      </c>
      <c r="D22" s="38" t="s">
        <v>87</v>
      </c>
      <c r="G22" s="38" t="s">
        <v>866</v>
      </c>
      <c r="H22" s="38" t="s">
        <v>79</v>
      </c>
    </row>
    <row r="23" spans="1:8" x14ac:dyDescent="0.2">
      <c r="A23" s="38" t="s">
        <v>88</v>
      </c>
      <c r="C23">
        <v>8</v>
      </c>
      <c r="D23" s="38" t="s">
        <v>89</v>
      </c>
      <c r="G23" s="38" t="s">
        <v>837</v>
      </c>
      <c r="H23" s="38" t="s">
        <v>91</v>
      </c>
    </row>
    <row r="24" spans="1:8" x14ac:dyDescent="0.2">
      <c r="A24" s="38" t="s">
        <v>92</v>
      </c>
      <c r="C24">
        <v>9</v>
      </c>
      <c r="D24" s="38" t="s">
        <v>89</v>
      </c>
      <c r="G24" s="38" t="s">
        <v>837</v>
      </c>
      <c r="H24" s="38" t="s">
        <v>91</v>
      </c>
    </row>
    <row r="25" spans="1:8" x14ac:dyDescent="0.2">
      <c r="A25" s="38" t="s">
        <v>93</v>
      </c>
      <c r="C25">
        <v>10</v>
      </c>
      <c r="D25" s="38" t="s">
        <v>89</v>
      </c>
      <c r="G25" s="38" t="s">
        <v>837</v>
      </c>
      <c r="H25" s="38" t="s">
        <v>91</v>
      </c>
    </row>
    <row r="27" spans="1:8" x14ac:dyDescent="0.2">
      <c r="A27" s="38" t="s">
        <v>94</v>
      </c>
      <c r="C27" s="38" t="s">
        <v>400</v>
      </c>
    </row>
    <row r="28" spans="1:8" x14ac:dyDescent="0.2">
      <c r="A28" t="str">
        <f t="shared" ref="A28:A34" si="0">A16</f>
        <v>Pinus taeda (loblolly pine)</v>
      </c>
      <c r="C28" s="254">
        <v>4849.9491869230769</v>
      </c>
      <c r="G28" t="s">
        <v>865</v>
      </c>
    </row>
    <row r="29" spans="1:8" x14ac:dyDescent="0.2">
      <c r="A29" t="str">
        <f t="shared" si="0"/>
        <v>Pinus elliottii</v>
      </c>
      <c r="C29" s="254">
        <v>4466.1402584615389</v>
      </c>
      <c r="G29" t="s">
        <v>865</v>
      </c>
    </row>
    <row r="30" spans="1:8" x14ac:dyDescent="0.2">
      <c r="A30" t="str">
        <f t="shared" si="0"/>
        <v>Loblolly Pine</v>
      </c>
      <c r="C30" s="106">
        <v>2993.7096419999998</v>
      </c>
      <c r="D30" s="38" t="s">
        <v>77</v>
      </c>
      <c r="G30" t="s">
        <v>867</v>
      </c>
    </row>
    <row r="31" spans="1:8" x14ac:dyDescent="0.2">
      <c r="A31" t="str">
        <f t="shared" si="0"/>
        <v>Loblolly Pine</v>
      </c>
      <c r="C31" s="106">
        <v>3447.3020120000001</v>
      </c>
      <c r="D31" s="38" t="s">
        <v>77</v>
      </c>
      <c r="G31" t="s">
        <v>867</v>
      </c>
    </row>
    <row r="32" spans="1:8" x14ac:dyDescent="0.2">
      <c r="A32" t="str">
        <f t="shared" si="0"/>
        <v>Loblolly Pine</v>
      </c>
      <c r="C32" s="106">
        <v>3265.8650640000001</v>
      </c>
      <c r="D32" s="38" t="s">
        <v>81</v>
      </c>
      <c r="G32" t="s">
        <v>867</v>
      </c>
    </row>
    <row r="33" spans="1:7" x14ac:dyDescent="0.2">
      <c r="A33" t="str">
        <f t="shared" si="0"/>
        <v>Loblolly Pine</v>
      </c>
      <c r="C33" s="106">
        <v>4717.3606480000008</v>
      </c>
      <c r="D33" s="38" t="s">
        <v>81</v>
      </c>
      <c r="G33" t="s">
        <v>867</v>
      </c>
    </row>
    <row r="34" spans="1:7" x14ac:dyDescent="0.2">
      <c r="A34" t="str">
        <f t="shared" si="0"/>
        <v>Loblolly Pine</v>
      </c>
      <c r="C34" s="106">
        <v>4626.6421739999996</v>
      </c>
      <c r="D34" s="38" t="s">
        <v>83</v>
      </c>
      <c r="G34" t="s">
        <v>867</v>
      </c>
    </row>
    <row r="35" spans="1:7" x14ac:dyDescent="0.2">
      <c r="A35" t="str">
        <f>A22</f>
        <v>Loblolly Pine</v>
      </c>
      <c r="C35" s="106">
        <v>6622.4486020000004</v>
      </c>
      <c r="D35" s="38" t="s">
        <v>83</v>
      </c>
      <c r="G35" t="s">
        <v>867</v>
      </c>
    </row>
    <row r="36" spans="1:7" x14ac:dyDescent="0.2">
      <c r="A36" t="str">
        <f>A22</f>
        <v>Loblolly Pine</v>
      </c>
      <c r="C36" s="106">
        <v>4898.7975960000003</v>
      </c>
      <c r="D36" s="38" t="s">
        <v>85</v>
      </c>
      <c r="G36" t="s">
        <v>867</v>
      </c>
    </row>
    <row r="37" spans="1:7" x14ac:dyDescent="0.2">
      <c r="A37" t="str">
        <f>A22</f>
        <v>Loblolly Pine</v>
      </c>
      <c r="C37" s="106">
        <v>7620.3518160000003</v>
      </c>
      <c r="D37" s="38" t="s">
        <v>85</v>
      </c>
      <c r="G37" t="s">
        <v>867</v>
      </c>
    </row>
    <row r="38" spans="1:7" x14ac:dyDescent="0.2">
      <c r="A38" t="str">
        <f>A22</f>
        <v>Loblolly Pine</v>
      </c>
      <c r="C38" s="106">
        <v>5443.10844</v>
      </c>
      <c r="D38" s="38" t="s">
        <v>87</v>
      </c>
      <c r="G38" t="s">
        <v>867</v>
      </c>
    </row>
    <row r="39" spans="1:7" x14ac:dyDescent="0.2">
      <c r="A39" t="str">
        <f>A22</f>
        <v>Loblolly Pine</v>
      </c>
      <c r="C39" s="106">
        <v>7257.4779200000003</v>
      </c>
      <c r="D39" s="38" t="s">
        <v>87</v>
      </c>
      <c r="G39" t="s">
        <v>867</v>
      </c>
    </row>
    <row r="40" spans="1:7" x14ac:dyDescent="0.2">
      <c r="A40" t="str">
        <f>A23</f>
        <v>Loblolly Pine, low</v>
      </c>
      <c r="C40" s="106">
        <v>3237.485144040631</v>
      </c>
      <c r="G40" t="s">
        <v>868</v>
      </c>
    </row>
    <row r="41" spans="1:7" x14ac:dyDescent="0.2">
      <c r="A41" t="str">
        <f>A24</f>
        <v>Loblolly Pine, average</v>
      </c>
      <c r="C41" s="106">
        <v>3642.1707870457099</v>
      </c>
      <c r="G41" t="s">
        <v>868</v>
      </c>
    </row>
    <row r="42" spans="1:7" x14ac:dyDescent="0.2">
      <c r="A42" t="str">
        <f>A25</f>
        <v>Loblolly Pine, high yield est</v>
      </c>
      <c r="C42" s="106">
        <v>4046.8564300507887</v>
      </c>
      <c r="G42" t="s">
        <v>868</v>
      </c>
    </row>
    <row r="43" spans="1:7" x14ac:dyDescent="0.2">
      <c r="A43" s="38" t="s">
        <v>95</v>
      </c>
      <c r="C43" s="255">
        <f>MIN(C28:C42)</f>
        <v>2993.7096419999998</v>
      </c>
      <c r="D43" t="s">
        <v>400</v>
      </c>
    </row>
    <row r="44" spans="1:7" x14ac:dyDescent="0.2">
      <c r="A44" s="38" t="s">
        <v>96</v>
      </c>
      <c r="C44" s="255">
        <f>MAX(C28:C42)</f>
        <v>7620.3518160000003</v>
      </c>
      <c r="D44" t="s">
        <v>400</v>
      </c>
    </row>
    <row r="45" spans="1:7" x14ac:dyDescent="0.2">
      <c r="A45" s="38" t="s">
        <v>570</v>
      </c>
      <c r="C45" s="254">
        <f>AVERAGE(C28:C42)</f>
        <v>4742.3777147014489</v>
      </c>
      <c r="D45" t="s">
        <v>400</v>
      </c>
    </row>
    <row r="46" spans="1:7" x14ac:dyDescent="0.2">
      <c r="A46" s="38" t="s">
        <v>97</v>
      </c>
      <c r="C46" s="256">
        <f>AVERAGE(C38:C39)</f>
        <v>6350.2931800000006</v>
      </c>
      <c r="D46" t="s">
        <v>400</v>
      </c>
    </row>
    <row r="58" spans="1:9" x14ac:dyDescent="0.2">
      <c r="A58" s="257"/>
      <c r="B58" s="257"/>
      <c r="C58" s="257"/>
      <c r="D58" s="257"/>
      <c r="E58" s="258"/>
      <c r="F58" s="259"/>
      <c r="G58" s="257"/>
      <c r="H58" s="257"/>
      <c r="I58" s="257"/>
    </row>
    <row r="59" spans="1:9" x14ac:dyDescent="0.2">
      <c r="A59" s="54"/>
      <c r="B59" s="54"/>
      <c r="C59" s="54"/>
      <c r="D59" s="54"/>
      <c r="E59" s="115"/>
      <c r="F59" s="142"/>
      <c r="G59" s="54"/>
      <c r="H59" s="54"/>
      <c r="I59" s="111"/>
    </row>
  </sheetData>
  <phoneticPr fontId="45" type="noConversion"/>
  <hyperlinks>
    <hyperlink ref="G13" r:id="rId1" display="http://www.gabioenergy.org/ppt/McClure--Forest%20Biomass%20as%20a%20Feedstock%20for%20Energy%20Production.pdf"/>
    <hyperlink ref="G18" r:id="rId2" display="http://www1.eere.energy.gov/biomass/pdfs/billion_ton_update.pdf"/>
  </hyperlinks>
  <pageMargins left="0.75" right="0.75" top="1" bottom="1" header="0.5" footer="0.5"/>
  <pageSetup scale="75" pageOrder="overThenDown" orientation="landscape" r:id="rId3"/>
  <headerFooter alignWithMargins="0"/>
  <rowBreaks count="1" manualBreakCount="1">
    <brk id="2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0"/>
  <sheetViews>
    <sheetView workbookViewId="0">
      <selection activeCell="F6" sqref="F6"/>
    </sheetView>
  </sheetViews>
  <sheetFormatPr defaultRowHeight="12.75" x14ac:dyDescent="0.2"/>
  <sheetData>
    <row r="3" spans="1:16" ht="15" x14ac:dyDescent="0.25">
      <c r="A3" s="105" t="s">
        <v>441</v>
      </c>
    </row>
    <row r="4" spans="1:16" x14ac:dyDescent="0.2">
      <c r="E4" s="120" t="s">
        <v>442</v>
      </c>
      <c r="F4">
        <v>1.2</v>
      </c>
      <c r="G4" s="38" t="s">
        <v>1120</v>
      </c>
      <c r="I4" s="38" t="s">
        <v>28</v>
      </c>
      <c r="L4" s="110" t="s">
        <v>667</v>
      </c>
      <c r="N4" s="61"/>
      <c r="O4" s="61"/>
      <c r="P4" s="110"/>
    </row>
    <row r="5" spans="1:16" ht="25.5" x14ac:dyDescent="0.2">
      <c r="E5" s="86" t="s">
        <v>443</v>
      </c>
      <c r="F5" s="20">
        <f>F4*2*Conversions!D9</f>
        <v>1.0886216879999999</v>
      </c>
      <c r="G5" s="38" t="s">
        <v>1121</v>
      </c>
      <c r="I5" s="38" t="s">
        <v>29</v>
      </c>
      <c r="L5" s="153" t="s">
        <v>445</v>
      </c>
      <c r="M5" s="153" t="s">
        <v>434</v>
      </c>
      <c r="N5" s="153" t="s">
        <v>446</v>
      </c>
      <c r="O5" s="153" t="s">
        <v>239</v>
      </c>
      <c r="P5" s="153" t="s">
        <v>431</v>
      </c>
    </row>
    <row r="6" spans="1:16" ht="38.25" x14ac:dyDescent="0.2">
      <c r="E6" s="86"/>
      <c r="F6" s="20">
        <f>F5*C_Diesel!F45</f>
        <v>2.5122038953846149</v>
      </c>
      <c r="G6" s="38" t="s">
        <v>1135</v>
      </c>
      <c r="I6" s="38"/>
      <c r="L6" s="154" t="s">
        <v>447</v>
      </c>
      <c r="M6" s="154" t="s">
        <v>448</v>
      </c>
      <c r="N6" s="154">
        <v>1.2</v>
      </c>
      <c r="O6" s="155" t="s">
        <v>449</v>
      </c>
      <c r="P6" s="155" t="s">
        <v>666</v>
      </c>
    </row>
    <row r="7" spans="1:16" ht="51" x14ac:dyDescent="0.2">
      <c r="E7" s="86"/>
      <c r="F7" s="46">
        <f>F6/C_Diesel!F43</f>
        <v>8.3740129846153824E-2</v>
      </c>
      <c r="G7" s="38" t="s">
        <v>1132</v>
      </c>
      <c r="I7" s="38"/>
      <c r="L7" s="154" t="s">
        <v>450</v>
      </c>
      <c r="M7" s="154" t="s">
        <v>448</v>
      </c>
      <c r="N7" s="154">
        <v>12.5</v>
      </c>
      <c r="O7" s="155" t="s">
        <v>449</v>
      </c>
      <c r="P7" s="155" t="s">
        <v>666</v>
      </c>
    </row>
    <row r="8" spans="1:16" x14ac:dyDescent="0.2">
      <c r="E8" s="86" t="s">
        <v>444</v>
      </c>
      <c r="F8" s="20">
        <f>F7/C_Diesel!F53</f>
        <v>3.2967032967032958E-5</v>
      </c>
      <c r="G8" s="38" t="s">
        <v>1122</v>
      </c>
      <c r="I8" s="38"/>
    </row>
    <row r="9" spans="1:16" x14ac:dyDescent="0.2">
      <c r="E9" s="86"/>
      <c r="F9" s="20"/>
    </row>
    <row r="10" spans="1:16" x14ac:dyDescent="0.2">
      <c r="E10" s="86" t="s">
        <v>1123</v>
      </c>
      <c r="F10" s="305">
        <v>0.15</v>
      </c>
      <c r="G10" s="38" t="s">
        <v>1089</v>
      </c>
      <c r="I10" t="s">
        <v>1126</v>
      </c>
    </row>
  </sheetData>
  <phoneticPr fontId="4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EF779F00-C52C-44C4-8518-7693DA7B1A6B}">
  <ds:schemaRefs>
    <ds:schemaRef ds:uri="http://schemas.microsoft.com/office/2006/metadata/longProperties"/>
  </ds:schemaRefs>
</ds:datastoreItem>
</file>

<file path=customXml/itemProps2.xml><?xml version="1.0" encoding="utf-8"?>
<ds:datastoreItem xmlns:ds="http://schemas.openxmlformats.org/officeDocument/2006/customXml" ds:itemID="{9E22EB06-7CC4-4249-BEEA-A4DEA43416B3}">
  <ds:schemaRefs>
    <ds:schemaRef ds:uri="http://schemas.microsoft.com/sharepoint/v3/contenttype/forms"/>
  </ds:schemaRefs>
</ds:datastoreItem>
</file>

<file path=customXml/itemProps3.xml><?xml version="1.0" encoding="utf-8"?>
<ds:datastoreItem xmlns:ds="http://schemas.openxmlformats.org/officeDocument/2006/customXml" ds:itemID="{A5BF929B-4A0F-4FD7-BA4B-0354A823E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1E51049-BBB0-41CA-84E9-9B19DD9016A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Info</vt:lpstr>
      <vt:lpstr>Data Summary</vt:lpstr>
      <vt:lpstr>Reference Source Info</vt:lpstr>
      <vt:lpstr>DQI</vt:lpstr>
      <vt:lpstr>C_Diesel</vt:lpstr>
      <vt:lpstr>Herb</vt:lpstr>
      <vt:lpstr>Fert</vt:lpstr>
      <vt:lpstr>Yield_SRWC</vt:lpstr>
      <vt:lpstr>FugDust</vt:lpstr>
      <vt:lpstr>C_Up</vt:lpstr>
      <vt:lpstr>C_Water</vt:lpstr>
      <vt:lpstr>E_Water</vt:lpstr>
      <vt:lpstr>Conversions</vt:lpstr>
      <vt:lpstr>Assumptions</vt:lpstr>
      <vt:lpstr>GaBi 5 Import</vt:lpstr>
      <vt:lpstr>Assumptions!Print_Area</vt:lpstr>
      <vt:lpstr>C_Diesel!Print_Area</vt:lpstr>
      <vt:lpstr>Conversions!Print_Area</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2010-04-26T20:47:55Z</cp:lastPrinted>
  <dcterms:created xsi:type="dcterms:W3CDTF">2006-08-24T17:49:09Z</dcterms:created>
  <dcterms:modified xsi:type="dcterms:W3CDTF">2017-01-03T20:31:00Z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0x010100D70AAE039293724F8AD42E6A8BC592EA</vt:lpwstr>
  </property>
</Properties>
</file>