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480" yWindow="240" windowWidth="27795" windowHeight="12465" activeTab="1"/>
  </bookViews>
  <sheets>
    <sheet name="Info" sheetId="1" r:id="rId1"/>
    <sheet name="Data Summary" sheetId="2" r:id="rId2"/>
    <sheet name="Reference Source Info" sheetId="4" r:id="rId3"/>
    <sheet name="DQI" sheetId="5" r:id="rId4"/>
    <sheet name="SAGD Calculations" sheetId="9" r:id="rId5"/>
    <sheet name="CSS Calculations" sheetId="6" r:id="rId6"/>
    <sheet name="Conversions" sheetId="7" r:id="rId7"/>
    <sheet name="Assumptions" sheetId="8" r:id="rId8"/>
    <sheet name="Chart" sheetId="10" r:id="rId9"/>
  </sheets>
  <calcPr calcId="171027" calcMode="manual"/>
</workbook>
</file>

<file path=xl/calcChain.xml><?xml version="1.0" encoding="utf-8"?>
<calcChain xmlns="http://schemas.openxmlformats.org/spreadsheetml/2006/main">
  <c r="D33" i="9" l="1"/>
  <c r="D74" i="9" s="1"/>
  <c r="G38" i="2" s="1"/>
  <c r="C33" i="9"/>
  <c r="C74" i="9" s="1"/>
  <c r="F38" i="2" s="1"/>
  <c r="D33" i="6"/>
  <c r="D72" i="6" s="1"/>
  <c r="G40" i="2" s="1"/>
  <c r="C33" i="6"/>
  <c r="C72" i="6" s="1"/>
  <c r="F40" i="2" s="1"/>
  <c r="B33" i="6"/>
  <c r="B72" i="6" s="1"/>
  <c r="E40" i="2" s="1"/>
  <c r="B33" i="9"/>
  <c r="B74" i="9" s="1"/>
  <c r="E38" i="2" s="1"/>
  <c r="C30" i="9"/>
  <c r="D30" i="9"/>
  <c r="E70" i="2"/>
  <c r="E74" i="2" s="1"/>
  <c r="E76" i="2" s="1"/>
  <c r="E71" i="2"/>
  <c r="E72" i="2"/>
  <c r="E56" i="2"/>
  <c r="E78" i="2"/>
  <c r="E69" i="2"/>
  <c r="E73" i="2" s="1"/>
  <c r="E75" i="2" s="1"/>
  <c r="E55" i="2"/>
  <c r="B42" i="9"/>
  <c r="B77" i="9" s="1"/>
  <c r="E43" i="2" s="1"/>
  <c r="E47" i="2" s="1"/>
  <c r="B85" i="9"/>
  <c r="D85" i="9" s="1"/>
  <c r="E48" i="2"/>
  <c r="E49" i="2"/>
  <c r="E58" i="2"/>
  <c r="E59" i="2" s="1"/>
  <c r="E61" i="2" s="1"/>
  <c r="E63" i="2"/>
  <c r="E54" i="2"/>
  <c r="D110" i="9"/>
  <c r="B96" i="9" s="1"/>
  <c r="B98" i="9" s="1"/>
  <c r="D111" i="9"/>
  <c r="E65" i="2"/>
  <c r="E57" i="2"/>
  <c r="E60" i="2"/>
  <c r="C35" i="6"/>
  <c r="C36" i="6" s="1"/>
  <c r="D35" i="6"/>
  <c r="D36" i="6" s="1"/>
  <c r="B35" i="6"/>
  <c r="B36" i="6" s="1"/>
  <c r="C35" i="9"/>
  <c r="C36" i="9" s="1"/>
  <c r="D35" i="9"/>
  <c r="D36" i="9"/>
  <c r="B35" i="9"/>
  <c r="B36" i="9" s="1"/>
  <c r="F70" i="2"/>
  <c r="G70" i="2"/>
  <c r="F69" i="2"/>
  <c r="G69"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C92" i="6"/>
  <c r="D109" i="6"/>
  <c r="C97" i="6" s="1"/>
  <c r="C99" i="6" s="1"/>
  <c r="C101" i="6" s="1"/>
  <c r="C104" i="6" s="1"/>
  <c r="C105" i="6" s="1"/>
  <c r="D110" i="6"/>
  <c r="C103" i="6"/>
  <c r="D92" i="6"/>
  <c r="D103" i="6"/>
  <c r="B93" i="9"/>
  <c r="B95" i="9" s="1"/>
  <c r="B101" i="9" s="1"/>
  <c r="B104" i="9" s="1"/>
  <c r="B105" i="9" s="1"/>
  <c r="B103" i="9"/>
  <c r="C8" i="6"/>
  <c r="C51" i="6" s="1"/>
  <c r="F30" i="2" s="1"/>
  <c r="D8" i="6"/>
  <c r="D51" i="6" s="1"/>
  <c r="G30" i="2" s="1"/>
  <c r="B8" i="6"/>
  <c r="I5" i="5"/>
  <c r="J5" i="5"/>
  <c r="K5" i="5"/>
  <c r="B50" i="6"/>
  <c r="E28" i="2" s="1"/>
  <c r="B52" i="9"/>
  <c r="E27" i="2" s="1"/>
  <c r="B51" i="6"/>
  <c r="E30" i="2" s="1"/>
  <c r="B53" i="9"/>
  <c r="E29" i="2" s="1"/>
  <c r="B36" i="2"/>
  <c r="B35" i="2"/>
  <c r="E84" i="2"/>
  <c r="G103" i="2"/>
  <c r="I103" i="2" s="1"/>
  <c r="E85" i="2"/>
  <c r="G104" i="2"/>
  <c r="I104" i="2" s="1"/>
  <c r="H103" i="2"/>
  <c r="H104" i="2"/>
  <c r="E86" i="2"/>
  <c r="H96" i="2"/>
  <c r="A120" i="6"/>
  <c r="D3" i="1"/>
  <c r="C26" i="1" s="1"/>
  <c r="B30" i="9"/>
  <c r="B95" i="6"/>
  <c r="F60" i="2"/>
  <c r="G60" i="2"/>
  <c r="B92" i="6"/>
  <c r="F56" i="2"/>
  <c r="G56" i="2"/>
  <c r="F54" i="2"/>
  <c r="G54" i="2"/>
  <c r="F58" i="2"/>
  <c r="G58" i="2"/>
  <c r="F55" i="2"/>
  <c r="G55" i="2"/>
  <c r="C42" i="9"/>
  <c r="D42" i="9"/>
  <c r="B84" i="9"/>
  <c r="D84" i="9" s="1"/>
  <c r="C43" i="9"/>
  <c r="D43" i="9"/>
  <c r="C44" i="9"/>
  <c r="C79" i="9"/>
  <c r="F45" i="2" s="1"/>
  <c r="D44" i="9"/>
  <c r="D79" i="9" s="1"/>
  <c r="G45" i="2" s="1"/>
  <c r="C17" i="9"/>
  <c r="D17" i="9"/>
  <c r="B17" i="9"/>
  <c r="B59" i="9" s="1"/>
  <c r="E46" i="2" s="1"/>
  <c r="B43" i="9"/>
  <c r="B78" i="9" s="1"/>
  <c r="E44" i="2" s="1"/>
  <c r="B44" i="9"/>
  <c r="B79" i="9"/>
  <c r="E45" i="2" s="1"/>
  <c r="C53" i="9"/>
  <c r="F29" i="2" s="1"/>
  <c r="D53" i="9"/>
  <c r="G29" i="2" s="1"/>
  <c r="C52" i="9"/>
  <c r="F27" i="2" s="1"/>
  <c r="D52" i="9"/>
  <c r="G27" i="2"/>
  <c r="C50" i="6"/>
  <c r="F28" i="2" s="1"/>
  <c r="D50" i="6"/>
  <c r="G28" i="2" s="1"/>
  <c r="C48" i="6"/>
  <c r="F39" i="2" s="1"/>
  <c r="D48" i="6"/>
  <c r="G39" i="2" s="1"/>
  <c r="B48" i="6"/>
  <c r="E39" i="2" s="1"/>
  <c r="C50" i="9"/>
  <c r="F37" i="2" s="1"/>
  <c r="D50" i="9"/>
  <c r="G37" i="2" s="1"/>
  <c r="B50" i="9"/>
  <c r="E37" i="2" s="1"/>
  <c r="B43" i="2"/>
  <c r="B42" i="2"/>
  <c r="B37" i="2"/>
  <c r="B38" i="2"/>
  <c r="B39" i="2"/>
  <c r="B40" i="2"/>
  <c r="B41" i="2"/>
  <c r="B25" i="2"/>
  <c r="B26" i="2"/>
  <c r="B33" i="2"/>
  <c r="B34" i="2"/>
  <c r="B24" i="2"/>
  <c r="B32" i="2"/>
  <c r="B30" i="2"/>
  <c r="B31" i="2"/>
  <c r="B44" i="2"/>
  <c r="B45" i="2"/>
  <c r="B46" i="2"/>
  <c r="B47" i="2"/>
  <c r="B48" i="2"/>
  <c r="B49" i="2"/>
  <c r="B50" i="2"/>
  <c r="B51" i="2"/>
  <c r="B52" i="2"/>
  <c r="B53" i="2"/>
  <c r="B27" i="2"/>
  <c r="B28" i="2"/>
  <c r="B29" i="2"/>
  <c r="C65" i="6"/>
  <c r="D65" i="6"/>
  <c r="B65" i="6"/>
  <c r="C67" i="6"/>
  <c r="D67" i="6"/>
  <c r="B67" i="6"/>
  <c r="B47" i="6"/>
  <c r="C95" i="6"/>
  <c r="D95" i="6"/>
  <c r="B103" i="6"/>
  <c r="C40" i="6"/>
  <c r="B85" i="6"/>
  <c r="D85" i="6" s="1"/>
  <c r="D40" i="6"/>
  <c r="C41" i="6"/>
  <c r="D41" i="6"/>
  <c r="C42" i="6"/>
  <c r="C76" i="6" s="1"/>
  <c r="B84" i="6"/>
  <c r="D84" i="6" s="1"/>
  <c r="D42" i="6"/>
  <c r="C43" i="6"/>
  <c r="C77" i="6" s="1"/>
  <c r="D43" i="6"/>
  <c r="D77" i="6" s="1"/>
  <c r="B43" i="6"/>
  <c r="B77" i="6" s="1"/>
  <c r="B42" i="6"/>
  <c r="B41" i="6"/>
  <c r="B40" i="6"/>
  <c r="C16" i="6"/>
  <c r="D16" i="6"/>
  <c r="C17" i="6"/>
  <c r="D17" i="6"/>
  <c r="C18" i="6"/>
  <c r="D18" i="6"/>
  <c r="C19" i="6"/>
  <c r="C59" i="6" s="1"/>
  <c r="D19" i="6"/>
  <c r="D59" i="6" s="1"/>
  <c r="B19" i="6"/>
  <c r="B59" i="6" s="1"/>
  <c r="B18" i="6"/>
  <c r="B17" i="6"/>
  <c r="B16" i="6"/>
  <c r="B66" i="6"/>
  <c r="C66" i="6"/>
  <c r="D66" i="6"/>
  <c r="B68" i="6"/>
  <c r="C68" i="6"/>
  <c r="D68" i="6"/>
  <c r="C64" i="6"/>
  <c r="D64" i="6"/>
  <c r="B64" i="6"/>
  <c r="B49" i="6"/>
  <c r="C49" i="6"/>
  <c r="D49" i="6"/>
  <c r="C47" i="6"/>
  <c r="D47" i="6"/>
  <c r="B86" i="6"/>
  <c r="D86" i="6" s="1"/>
  <c r="C93" i="6"/>
  <c r="C94" i="6" s="1"/>
  <c r="D93" i="6"/>
  <c r="D94" i="6" s="1"/>
  <c r="B93" i="6"/>
  <c r="B94" i="6" s="1"/>
  <c r="B67" i="9"/>
  <c r="C68" i="9"/>
  <c r="D68" i="9"/>
  <c r="B68" i="9"/>
  <c r="C67" i="9"/>
  <c r="D67" i="9"/>
  <c r="B69" i="9"/>
  <c r="C69" i="9"/>
  <c r="D69" i="9"/>
  <c r="C66" i="9"/>
  <c r="D66" i="9"/>
  <c r="B66" i="9"/>
  <c r="C41" i="9"/>
  <c r="C76" i="9" s="1"/>
  <c r="D41" i="9"/>
  <c r="D76" i="9" s="1"/>
  <c r="B41" i="9"/>
  <c r="B76" i="9" s="1"/>
  <c r="C93" i="9"/>
  <c r="C95" i="9" s="1"/>
  <c r="C103" i="9"/>
  <c r="D93" i="9"/>
  <c r="D95" i="9" s="1"/>
  <c r="D103" i="9"/>
  <c r="C19" i="9"/>
  <c r="D19" i="9"/>
  <c r="C20" i="9"/>
  <c r="C62" i="9" s="1"/>
  <c r="D20" i="9"/>
  <c r="D62" i="9" s="1"/>
  <c r="B20" i="9"/>
  <c r="B62" i="9" s="1"/>
  <c r="B19" i="9"/>
  <c r="B61" i="9" s="1"/>
  <c r="C18" i="9"/>
  <c r="C60" i="9" s="1"/>
  <c r="D18" i="9"/>
  <c r="B18" i="9"/>
  <c r="B86" i="9"/>
  <c r="D86" i="9"/>
  <c r="E9" i="7"/>
  <c r="D87" i="9" s="1"/>
  <c r="C51" i="9"/>
  <c r="D51" i="9"/>
  <c r="B51" i="9"/>
  <c r="C49" i="9"/>
  <c r="D49" i="9"/>
  <c r="B49" i="9"/>
  <c r="I9" i="5"/>
  <c r="N5" i="2" s="1"/>
  <c r="K8" i="5"/>
  <c r="J8" i="5"/>
  <c r="I8" i="5"/>
  <c r="K7" i="5"/>
  <c r="J7" i="5"/>
  <c r="I7" i="5"/>
  <c r="K6" i="5"/>
  <c r="J6" i="5"/>
  <c r="I6"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107" i="2"/>
  <c r="H106" i="2"/>
  <c r="H105" i="2"/>
  <c r="G102" i="2"/>
  <c r="I102" i="2" s="1"/>
  <c r="H102" i="2"/>
  <c r="H95" i="2"/>
  <c r="H94" i="2"/>
  <c r="H93" i="2"/>
  <c r="H92" i="2"/>
  <c r="B23" i="2"/>
  <c r="G11" i="2"/>
  <c r="D4" i="1"/>
  <c r="D75" i="6" l="1"/>
  <c r="C57" i="6"/>
  <c r="B75" i="6"/>
  <c r="D56" i="6"/>
  <c r="C78" i="9"/>
  <c r="F44" i="2" s="1"/>
  <c r="C61" i="9"/>
  <c r="D61" i="9"/>
  <c r="B74" i="6"/>
  <c r="C59" i="9"/>
  <c r="F46" i="2" s="1"/>
  <c r="B60" i="9"/>
  <c r="C77" i="9"/>
  <c r="F43" i="2" s="1"/>
  <c r="D57" i="6"/>
  <c r="D78" i="9"/>
  <c r="G44" i="2" s="1"/>
  <c r="C73" i="9"/>
  <c r="D77" i="9"/>
  <c r="G43" i="2" s="1"/>
  <c r="D59" i="9"/>
  <c r="G46" i="2" s="1"/>
  <c r="C56" i="6"/>
  <c r="E62" i="2"/>
  <c r="D60" i="9"/>
  <c r="B56" i="6"/>
  <c r="D73" i="9"/>
  <c r="E77" i="2"/>
  <c r="E80" i="2" s="1"/>
  <c r="C11" i="6"/>
  <c r="C30" i="6"/>
  <c r="E64" i="2"/>
  <c r="E67" i="2" s="1"/>
  <c r="E68" i="2" s="1"/>
  <c r="E82" i="2" s="1"/>
  <c r="B73" i="9"/>
  <c r="D76" i="6"/>
  <c r="B58" i="6"/>
  <c r="C58" i="6"/>
  <c r="B76" i="6"/>
  <c r="D58" i="6"/>
  <c r="B57" i="9"/>
  <c r="B12" i="9"/>
  <c r="E50" i="2"/>
  <c r="E32" i="2" s="1"/>
  <c r="D96" i="9"/>
  <c r="D98" i="9" s="1"/>
  <c r="D101" i="9" s="1"/>
  <c r="D104" i="9" s="1"/>
  <c r="D105" i="9" s="1"/>
  <c r="D97" i="6"/>
  <c r="D99" i="6" s="1"/>
  <c r="D101" i="6" s="1"/>
  <c r="D104" i="6" s="1"/>
  <c r="D105" i="6" s="1"/>
  <c r="B97" i="6"/>
  <c r="B99" i="6" s="1"/>
  <c r="B101" i="6" s="1"/>
  <c r="B104" i="6" s="1"/>
  <c r="B105" i="6" s="1"/>
  <c r="C96" i="9"/>
  <c r="C98" i="9" s="1"/>
  <c r="C101" i="9" s="1"/>
  <c r="C104" i="9" s="1"/>
  <c r="C105" i="9" s="1"/>
  <c r="D87" i="6"/>
  <c r="C71" i="6" s="1"/>
  <c r="C75" i="6"/>
  <c r="D74" i="6"/>
  <c r="C74" i="6"/>
  <c r="B57" i="6"/>
  <c r="E31" i="2" l="1"/>
  <c r="E36" i="2" s="1"/>
  <c r="G107" i="2" s="1"/>
  <c r="I107" i="2" s="1"/>
  <c r="E79" i="2"/>
  <c r="E81" i="2" s="1"/>
  <c r="E53" i="2"/>
  <c r="G95" i="2" s="1"/>
  <c r="I95" i="2" s="1"/>
  <c r="E52" i="2"/>
  <c r="G94" i="2" s="1"/>
  <c r="I94" i="2" s="1"/>
  <c r="E33" i="2"/>
  <c r="E35" i="2" s="1"/>
  <c r="G106" i="2" s="1"/>
  <c r="I106" i="2" s="1"/>
  <c r="E51" i="2"/>
  <c r="G93" i="2" s="1"/>
  <c r="I93" i="2" s="1"/>
  <c r="C57" i="9"/>
  <c r="C12" i="9"/>
  <c r="D57" i="9"/>
  <c r="D12" i="9"/>
  <c r="B54" i="6"/>
  <c r="B11" i="6"/>
  <c r="B30" i="6"/>
  <c r="D11" i="6"/>
  <c r="D54" i="6"/>
  <c r="D30" i="6"/>
  <c r="E42" i="2"/>
  <c r="G105" i="2" s="1"/>
  <c r="I105" i="2" s="1"/>
  <c r="E83" i="2"/>
  <c r="G92" i="2" s="1"/>
  <c r="I92" i="2" s="1"/>
  <c r="E41" i="2"/>
  <c r="G96" i="2" s="1"/>
  <c r="I96" i="2" s="1"/>
  <c r="E34" i="2"/>
  <c r="D71" i="6"/>
  <c r="B71" i="6"/>
  <c r="C54" i="6"/>
</calcChain>
</file>

<file path=xl/sharedStrings.xml><?xml version="1.0" encoding="utf-8"?>
<sst xmlns="http://schemas.openxmlformats.org/spreadsheetml/2006/main" count="1219" uniqueCount="580">
  <si>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</si>
  <si>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</si>
  <si>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</si>
  <si>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</si>
  <si>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</si>
  <si>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</si>
  <si>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</si>
  <si>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</si>
  <si>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</si>
  <si>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</si>
  <si>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</si>
  <si>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</si>
  <si>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</si>
  <si>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</si>
  <si>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</si>
  <si>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</si>
  <si>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</si>
  <si>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</si>
  <si>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</si>
  <si>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</si>
  <si>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</si>
  <si>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</si>
  <si>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</si>
  <si>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</si>
  <si>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</si>
  <si>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</si>
  <si>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</si>
  <si>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</si>
  <si>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</si>
  <si>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</si>
  <si>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</si>
  <si>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</si>
  <si>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</si>
  <si>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</si>
  <si>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</si>
  <si>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</si>
  <si>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</si>
  <si>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</si>
  <si>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</si>
  <si>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</si>
  <si>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</si>
  <si>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</si>
  <si>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</si>
  <si>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</si>
  <si>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</si>
  <si>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</si>
  <si>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</si>
  <si>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</si>
  <si>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</si>
  <si>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</si>
  <si>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</si>
  <si>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</si>
  <si>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</si>
  <si>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</si>
  <si>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</si>
  <si>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</si>
  <si>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</si>
  <si>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</si>
  <si>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</si>
  <si>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</si>
  <si>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</si>
  <si>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</si>
  <si>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</si>
  <si>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</si>
  <si>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</si>
  <si>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</si>
  <si>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</si>
  <si>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</si>
  <si>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</si>
  <si>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</si>
  <si>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</si>
  <si>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</si>
  <si>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</si>
  <si>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</si>
  <si>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</si>
  <si>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</si>
  <si>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</si>
  <si>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</si>
  <si>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</si>
  <si>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</si>
  <si>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</si>
  <si>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</si>
  <si>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</si>
  <si>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</si>
  <si>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</si>
  <si>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</si>
  <si>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</si>
  <si>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</si>
  <si>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</si>
  <si>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</si>
  <si>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</si>
  <si>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</si>
  <si>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</si>
  <si>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</si>
  <si>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</si>
  <si>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</si>
  <si>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</si>
  <si>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</si>
  <si>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</si>
  <si>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</si>
  <si>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</si>
  <si>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</si>
  <si>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</si>
  <si>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</si>
  <si>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</si>
  <si>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</si>
  <si>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</si>
  <si>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</si>
  <si>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</si>
  <si>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</si>
  <si>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</si>
  <si>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</si>
  <si>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</si>
  <si>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</si>
  <si>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</si>
  <si>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</si>
  <si>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</si>
  <si>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</si>
  <si>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</si>
  <si>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</si>
  <si>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</si>
  <si>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</si>
  <si>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</si>
  <si>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</si>
  <si>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</si>
  <si>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</si>
  <si>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</si>
  <si>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</si>
  <si>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</si>
  <si>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</si>
  <si>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</si>
  <si>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</si>
  <si>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</si>
  <si>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</si>
  <si>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</si>
  <si>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</si>
  <si>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</si>
  <si>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</si>
  <si>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</si>
  <si>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</si>
  <si>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</si>
  <si>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</si>
  <si>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</si>
  <si>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</si>
  <si>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</si>
  <si>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</si>
  <si>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</si>
  <si>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</si>
  <si>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</si>
  <si>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</si>
  <si>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</si>
  <si>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</si>
  <si>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</si>
  <si>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</si>
  <si>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</si>
  <si>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</si>
  <si>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</si>
  <si>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</si>
  <si>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</si>
  <si>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</si>
  <si>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</si>
  <si>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</si>
  <si>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</si>
  <si>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</si>
  <si>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</si>
  <si>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</si>
  <si>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</si>
  <si>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</si>
  <si>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</si>
  <si>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</si>
  <si>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</si>
  <si>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</si>
  <si>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</si>
  <si>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</si>
  <si>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</si>
  <si>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</si>
  <si>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</si>
  <si>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</si>
  <si>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</si>
  <si>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</si>
  <si>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</si>
  <si>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</si>
  <si>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</si>
  <si>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</si>
  <si>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</si>
  <si>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</si>
  <si>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</si>
  <si>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</si>
  <si>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</si>
  <si>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</si>
  <si>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</si>
  <si>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</si>
  <si>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</si>
  <si>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</si>
  <si>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</si>
  <si>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</si>
  <si>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</si>
  <si>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</si>
  <si>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</si>
  <si>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</si>
  <si>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</si>
  <si>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</si>
  <si>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</si>
  <si>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</si>
  <si>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</si>
  <si>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</si>
  <si>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</si>
  <si>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</si>
  <si>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</si>
  <si>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</si>
  <si>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</si>
  <si>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</si>
  <si>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</si>
  <si>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</si>
  <si>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</si>
  <si>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</si>
  <si>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</si>
  <si>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</si>
  <si>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</si>
  <si>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</si>
  <si>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</si>
  <si>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Notes</t>
  </si>
  <si>
    <t>Conversion Factors</t>
  </si>
  <si>
    <t>Assumption #</t>
  </si>
  <si>
    <t>SAGD Recovery and Extraction Calculations</t>
  </si>
  <si>
    <t>1. No Co-Gen Case</t>
  </si>
  <si>
    <t>Parameters</t>
  </si>
  <si>
    <t>Min</t>
  </si>
  <si>
    <t>Max</t>
  </si>
  <si>
    <t>Cumulative Steam-to-Oil ratio (cSOR wet)</t>
  </si>
  <si>
    <t>m3 wet steam (cwe)/m3 bitumen</t>
  </si>
  <si>
    <t>Electricity used by process</t>
  </si>
  <si>
    <t>kWh/m3 bitumen</t>
  </si>
  <si>
    <t>Co-produced solution gas</t>
  </si>
  <si>
    <t>m3/m3 bitumen</t>
  </si>
  <si>
    <t>Fugitive methane emissions</t>
  </si>
  <si>
    <t>kg CO2e/m3 bitumen</t>
  </si>
  <si>
    <t>Flared hydrocarbon emissions</t>
  </si>
  <si>
    <t>Produced/injected steam quality</t>
  </si>
  <si>
    <t>-</t>
  </si>
  <si>
    <t>%</t>
  </si>
  <si>
    <t>Boiler or Co-Gen feedwater temperature</t>
  </si>
  <si>
    <t>degrees C</t>
  </si>
  <si>
    <t>Natural Gas Requirement</t>
  </si>
  <si>
    <t>Diluent</t>
  </si>
  <si>
    <t>2. Co-Gen Case</t>
  </si>
  <si>
    <t>Total Electricity Produced</t>
  </si>
  <si>
    <t>NG Requirement Calculation</t>
  </si>
  <si>
    <t>Wet Steam Quality</t>
  </si>
  <si>
    <t>Dry cSOR</t>
  </si>
  <si>
    <t>m3 dry steam (cwe)/m3 bitumen</t>
  </si>
  <si>
    <t>Feedwater Enthalpy</t>
  </si>
  <si>
    <t>kJ/kg water</t>
  </si>
  <si>
    <t>Wet Steam x80 Quality Enthalpy</t>
  </si>
  <si>
    <t>Enthalpy change</t>
  </si>
  <si>
    <t>Natural Gas HHV</t>
  </si>
  <si>
    <t>kJ/m3</t>
  </si>
  <si>
    <t>Natural gas requirement</t>
  </si>
  <si>
    <t>Replaced NG with Solution Gas Calculation</t>
  </si>
  <si>
    <t>Produced Solution Gas</t>
  </si>
  <si>
    <t xml:space="preserve">Natural gas requirement before </t>
  </si>
  <si>
    <t xml:space="preserve">Natural gas requirement after </t>
  </si>
  <si>
    <t>Liquid Enthalpy vs. Feedwater Temp Calculation</t>
  </si>
  <si>
    <t>Feedwater Temp (degrees C)</t>
  </si>
  <si>
    <t>CSS Recovery and Extraction Calculations</t>
  </si>
  <si>
    <r>
      <t>m</t>
    </r>
    <r>
      <rPr>
        <vertAlign val="superscript"/>
        <sz val="10"/>
        <rFont val="Arial"/>
        <family val="2"/>
      </rPr>
      <t>3</t>
    </r>
  </si>
  <si>
    <r>
      <t>ft</t>
    </r>
    <r>
      <rPr>
        <vertAlign val="superscript"/>
        <sz val="10"/>
        <rFont val="Arial"/>
        <family val="2"/>
      </rPr>
      <t>3</t>
    </r>
  </si>
  <si>
    <t>Btu</t>
  </si>
  <si>
    <t>kJ</t>
  </si>
  <si>
    <r>
      <t>Liquid Enthalpy (kJ/kg H</t>
    </r>
    <r>
      <rPr>
        <vertAlign val="subscript"/>
        <sz val="11"/>
        <color theme="1"/>
        <rFont val="Calibri"/>
        <family val="2"/>
        <scheme val="minor"/>
      </rPr>
      <t>2</t>
    </r>
    <r>
      <rPr>
        <sz val="11"/>
        <color theme="1"/>
        <rFont val="Calibri"/>
        <family val="2"/>
        <scheme val="minor"/>
      </rPr>
      <t>O)</t>
    </r>
  </si>
  <si>
    <t>As Reported</t>
  </si>
  <si>
    <t>m3 wet steam (cwe)/kg bitumen</t>
  </si>
  <si>
    <t>kWh/kg bitumen</t>
  </si>
  <si>
    <t>m3/kg bitumen</t>
  </si>
  <si>
    <t>kg CO2e/kg bitumen</t>
  </si>
  <si>
    <t>Wh</t>
  </si>
  <si>
    <t>kWh</t>
  </si>
  <si>
    <t>Table 2</t>
  </si>
  <si>
    <t>Life Cycle Greenhouse Gas Emissions of Current Oil Sands Technologies: GHOST Model Development and Illustrative Application</t>
  </si>
  <si>
    <t>Alex D. Charpentier</t>
  </si>
  <si>
    <t>Oyeshola Kofoworola, Joule A. Bergerson, and Heather MacLean</t>
  </si>
  <si>
    <t>Environ. Sci. Technol.</t>
  </si>
  <si>
    <t>Canada</t>
  </si>
  <si>
    <t>September 15</t>
  </si>
  <si>
    <t>[Reference 2]</t>
  </si>
  <si>
    <t>EPA</t>
  </si>
  <si>
    <t>United States</t>
  </si>
  <si>
    <r>
      <t xml:space="preserve">Life Cycle Greenhouse Gas Emissions of Current Oil Sands Technologies: Surface Mining and </t>
    </r>
    <r>
      <rPr>
        <i/>
        <sz val="10"/>
        <rFont val="Arial"/>
        <family val="2"/>
      </rPr>
      <t>In Situ</t>
    </r>
    <r>
      <rPr>
        <sz val="10"/>
        <rFont val="Arial"/>
        <family val="2"/>
      </rPr>
      <t xml:space="preserve"> Applications</t>
    </r>
  </si>
  <si>
    <t>Joule A. Bergerson</t>
  </si>
  <si>
    <t>Oyeshola Kofoworola, Alex D. Charpentier, Sylvia Sleep, and Heather MacLean</t>
  </si>
  <si>
    <t>2012</t>
  </si>
  <si>
    <t>June 5</t>
  </si>
  <si>
    <t>[Reference 5]</t>
  </si>
  <si>
    <t>Assumes min/max same as SAGD Co-Gen Case and default parameter is from SAGD example project</t>
  </si>
  <si>
    <t>% by volume</t>
  </si>
  <si>
    <t>Dilbit Pathway (NGL or naptha)</t>
  </si>
  <si>
    <t>Synbit Pathway (SCO)</t>
  </si>
  <si>
    <t>m3 naphtha/m3 bitumen</t>
  </si>
  <si>
    <t>Dilbit Pathway (naptha)</t>
  </si>
  <si>
    <t>Dilbit Pathway (NGL)</t>
  </si>
  <si>
    <t>m3 NGL/m3 bitumen</t>
  </si>
  <si>
    <t>m3 SCO/m3 bitumen</t>
  </si>
  <si>
    <t xml:space="preserve">Bitumen Density </t>
  </si>
  <si>
    <t>SCO</t>
  </si>
  <si>
    <t>Natural Gas Liquids</t>
  </si>
  <si>
    <t>Naptha</t>
  </si>
  <si>
    <t>Diesel</t>
  </si>
  <si>
    <t>Natural Gas</t>
  </si>
  <si>
    <t>kg/m^3</t>
  </si>
  <si>
    <t>tonne/l</t>
  </si>
  <si>
    <t>lb/ft3</t>
  </si>
  <si>
    <t>Wet Steam-to-Oil ratio</t>
  </si>
  <si>
    <t>Boiler HHV Efficiency</t>
  </si>
  <si>
    <t>Injected steam quality</t>
  </si>
  <si>
    <t>Produced steam quality</t>
  </si>
  <si>
    <t>kg naphtha/kg bitumen</t>
  </si>
  <si>
    <t>kg/kg bitumen</t>
  </si>
  <si>
    <t>Methane GWP</t>
  </si>
  <si>
    <t>kg CH4/kg bitumen</t>
  </si>
  <si>
    <t>m^3</t>
  </si>
  <si>
    <t>l</t>
  </si>
  <si>
    <t>tonne</t>
  </si>
  <si>
    <t>lbm</t>
  </si>
  <si>
    <t>cubic feet</t>
  </si>
  <si>
    <t>MWh</t>
  </si>
  <si>
    <t>MWh/kg bitumen</t>
  </si>
  <si>
    <t>Expected</t>
  </si>
  <si>
    <t>Personal Communication with Joule Bergerson from the University of Calgary Re: GHOST Model</t>
  </si>
  <si>
    <t xml:space="preserve"> Inventory of U.S. Greenhouse Gas Emissions and Sinks: 1990-2008</t>
  </si>
  <si>
    <t>2014</t>
  </si>
  <si>
    <t>2010</t>
  </si>
  <si>
    <t>March 14</t>
  </si>
  <si>
    <t>http://www.epa.gov/climatechange/emissions/downloads10/508_Complete_GHG_1990_2008.pdf</t>
  </si>
  <si>
    <t>J. Bergerson, personal communication, March 14, 2014</t>
  </si>
  <si>
    <t>EPA. (2010). Inventory of U.S. Greenhouse Gas Emissions and Sinks: 1990-2008.  Washington, DC.: U.S. Environmental Protection Agency, from http://www.epa.gov/climatechange/emissions/downloads10/508_Complete_GHG_1990_2008.pdf</t>
  </si>
  <si>
    <t>Natural gas input for co-generation cases</t>
  </si>
  <si>
    <t>Fuel densities</t>
  </si>
  <si>
    <t>Density Data</t>
  </si>
  <si>
    <t>kg NGL/kg bitumen</t>
  </si>
  <si>
    <t>kg SCO/kg bitumen</t>
  </si>
  <si>
    <t>Cogen</t>
  </si>
  <si>
    <t>[Dimensionless] 0 = Extraction facility without cogen; 1 = Extraction facility with cogen</t>
  </si>
  <si>
    <t>NG_Input_Cogen</t>
  </si>
  <si>
    <t>NG_Input_NoCo</t>
  </si>
  <si>
    <t>NG_Input_norm</t>
  </si>
  <si>
    <t>IF(Cogen=0;NG_Input_NoCo;NG_Input_Cogen)/Ext_Bit_Out</t>
  </si>
  <si>
    <t>Finished_Prod</t>
  </si>
  <si>
    <t>Naphtha_Dil_m</t>
  </si>
  <si>
    <t>NGL_Dil_m</t>
  </si>
  <si>
    <t>SCO_Syn_m</t>
  </si>
  <si>
    <t>Naphtha_SCO_T</t>
  </si>
  <si>
    <t>Naphtha_Dil_in</t>
  </si>
  <si>
    <t>IF(Finished_Prod=0 AND Diluent = 0;Naphtha_Dil_m; IF(Finished_Prod=2;Naphtha_SCO_T;0))</t>
  </si>
  <si>
    <t>NGL_Dil_in</t>
  </si>
  <si>
    <t>IF(Finished_Prod=0 AND Diluent = 1;NGL_Dil_m;0)</t>
  </si>
  <si>
    <t>SCO_Syn_in</t>
  </si>
  <si>
    <t>IF(Finished_Prod=1;SCO_Syn_m;0)</t>
  </si>
  <si>
    <t>Ext_Bit_Out</t>
  </si>
  <si>
    <t>1+Naphtha_Dil_in+NGL_Dil_in+SCO_Syn_in</t>
  </si>
  <si>
    <t>Elec_in</t>
  </si>
  <si>
    <t>Elec_out</t>
  </si>
  <si>
    <t>Nap_Dil_in_norm</t>
  </si>
  <si>
    <t>Naphtha_Dil_in/Ext_Bit_Out</t>
  </si>
  <si>
    <t>NGL_Dil_in_norm</t>
  </si>
  <si>
    <t>NGL_Dil_in/Ext_Bit_Out</t>
  </si>
  <si>
    <t>SCO_Syn_in_norm</t>
  </si>
  <si>
    <t>SCO_Syn_in/Ext_Bit_Out</t>
  </si>
  <si>
    <t>[kg/kg] Natural gas input for bitumen extraction processes with cogen unit</t>
  </si>
  <si>
    <t>[kg/kg] Natural gas input for bitumen extraction processes without cogen unit</t>
  </si>
  <si>
    <t>[Dimensionless] Determination of ultimate product; 0 = dilbit; 1 = synbit; 2 = SCO (diluent used for transport)</t>
  </si>
  <si>
    <t>[Dimensionless] Diluent used for produced Dilbit; 0 = naphtha; 1 = NGL</t>
  </si>
  <si>
    <t>[kg/kg] Naphtha diluent input per unit bitumen</t>
  </si>
  <si>
    <t>[kg/kg] NGL diluent input per unit bitumen</t>
  </si>
  <si>
    <t>[kg/kg] SCO diluent input per unit bitumen</t>
  </si>
  <si>
    <t>[kg/kg] Naphtha diluent input per unit bitumen - blended for transport to upgrader</t>
  </si>
  <si>
    <t>[kg/kg] Naphtha diluent input per unit bitumen - either for dilbit or transport to upgrader</t>
  </si>
  <si>
    <t>[MWh/kg] Electricity input for a unit without cogen</t>
  </si>
  <si>
    <t>[MWh/kg] Electricity output for a unit with cogen</t>
  </si>
  <si>
    <t>[kg/kg] Naphtha diluent input per unit bitumen - either for dilbit or transport to upgrader, normalized to 1 kg of bitumen/diluent mixture out</t>
  </si>
  <si>
    <t>[kg/kg] NGL diluent input per unit bitumen, normalized to 1 kg of bitumen/diluent mixture out</t>
  </si>
  <si>
    <t>[kg/kg] SCO diluent input per unit bitumen, normalized to 1 kg of bitumen/diluent mixture out</t>
  </si>
  <si>
    <t>Natural Gas US Mix - NETL [Natural gas (resource)]</t>
  </si>
  <si>
    <t>Naphtha [Organic intermediate products]</t>
  </si>
  <si>
    <t>Natural Gas Liquids [Natural Gas Products]</t>
  </si>
  <si>
    <t>SCO [Crude Oil Products]</t>
  </si>
  <si>
    <t>Electricity [Electric Power]</t>
  </si>
  <si>
    <t>[Technosphere] Combusted natural gas input</t>
  </si>
  <si>
    <t>[Technosphere] Naphtha input</t>
  </si>
  <si>
    <t>[Technosphere] NGL input</t>
  </si>
  <si>
    <t>[Technosphere] SCO input</t>
  </si>
  <si>
    <t>[Technosphere] Electricity input</t>
  </si>
  <si>
    <t>Fug_CH4_SAGD</t>
  </si>
  <si>
    <t>Fug_CH4_CSS</t>
  </si>
  <si>
    <t>Fug_CH4_SAGD_n</t>
  </si>
  <si>
    <t>Fug_CH4_CSS_n</t>
  </si>
  <si>
    <t>Fug_CH4_SAGD/Ext_Bit_Out</t>
  </si>
  <si>
    <t>Fug_CH4_CSS/Ext_Bit_Out</t>
  </si>
  <si>
    <t>Flar_CO2_SAGD</t>
  </si>
  <si>
    <t>Flar_CO2_CSS</t>
  </si>
  <si>
    <t>Flar_CO2_SAGD_n</t>
  </si>
  <si>
    <t>Flar_CO2_CSS_n</t>
  </si>
  <si>
    <t>Flar_CO2_SAGD/Ext_Bit_Out</t>
  </si>
  <si>
    <t>Flar_CO2_CSS/Ext_Bit_Out</t>
  </si>
  <si>
    <t>[kg/kg] SAGD fugitive emissions from bitumen extraction processes, normalized to 1 kg of bitumen/diluent mixture out</t>
  </si>
  <si>
    <t>[kg/kg] CSS fugitive emissions from bitumen extraction processes, normalized to 1 kg of bitumen/diluent mixture out</t>
  </si>
  <si>
    <t>[kg/kg] SAGD flared emissions from bitumen extraction processes, normalized to 1 kg of bitumen/diluent mixture out</t>
  </si>
  <si>
    <t>[kg/kg] CSS flared emissions from bitumen extraction processes, normalized to 1 kg of bitumen/diluent mixture out</t>
  </si>
  <si>
    <t>[kg/kg] SAGD fugitive emissions from bitumen extraction processes</t>
  </si>
  <si>
    <t>[kg/kg] CSS fugitive emissions from bitumen extraction processes</t>
  </si>
  <si>
    <t>[kg/kg] SAGD flared emissions from bitumen extraction processes</t>
  </si>
  <si>
    <t>[kg/kg] CSS flared emissions from bitumen extraction processes</t>
  </si>
  <si>
    <t>In_Situ</t>
  </si>
  <si>
    <t>[Dimensionless] 0 = SAGD; 1 = CSS</t>
  </si>
  <si>
    <t>Elec_req_SAGD</t>
  </si>
  <si>
    <t>Elec_prod_CSS</t>
  </si>
  <si>
    <t>Elec_prod_SAGD</t>
  </si>
  <si>
    <t>Elec_req_CSS</t>
  </si>
  <si>
    <t>[MWh/kg] SAGD electricity required for a unit without cogen</t>
  </si>
  <si>
    <t>[MWh/kg] SAGD electricity produced for a unit with cogen</t>
  </si>
  <si>
    <t>[MWh/kg] CSS electricity required for a unit without cogen</t>
  </si>
  <si>
    <t>[MWh/kg] CSS electricity produced for a unit with cogen</t>
  </si>
  <si>
    <t>NG_In_Co_SAGD</t>
  </si>
  <si>
    <t>NG_In_Co_CSS</t>
  </si>
  <si>
    <t>[kg/kg] SAGD natural gas input for bitumen extraction processes with cogen unit</t>
  </si>
  <si>
    <t>[kg/kg] CSS natural gas input for bitumen extraction processes with cogen unit</t>
  </si>
  <si>
    <t>IF(Cogen=0 and In_Situ = 0;Elec_req_SAGD; IF(Cogen=0 and In_Situ = 1;Elec_req_CSS;0))/Ext_Bit_Out</t>
  </si>
  <si>
    <t>IF(Cogen=1 and In_Situ = 0;Elec_prod_SAGD; IF(Cogen=1 and In_Situ = 1;Elec_prod_CSS;0))/Ext_Bit_Out</t>
  </si>
  <si>
    <t>Dry Steam-to-Oil ratio (cSOR dry)</t>
  </si>
  <si>
    <t>SOR_SAGD_Dry</t>
  </si>
  <si>
    <t>NG_HHV</t>
  </si>
  <si>
    <t>Boiler_HHV_Eff</t>
  </si>
  <si>
    <t>Soln_Gas_SAGD</t>
  </si>
  <si>
    <t>m3/m3</t>
  </si>
  <si>
    <t>SOR_SAGD_Dry/0.8</t>
  </si>
  <si>
    <t>kJ/kg</t>
  </si>
  <si>
    <t>[kJ/kg] Wet steam enthalpy based on a quality of 80% and P = 7 MPa</t>
  </si>
  <si>
    <t>kJ/kg water @ P = 7 MPa</t>
  </si>
  <si>
    <t>kJ/kg water @ P = 12 MPa</t>
  </si>
  <si>
    <t>[dimensionless] Boiler efficiency based on HHV</t>
  </si>
  <si>
    <t>Slope</t>
  </si>
  <si>
    <t>Intercept</t>
  </si>
  <si>
    <t>FW_Temp</t>
  </si>
  <si>
    <t>deg C</t>
  </si>
  <si>
    <t>Min NG Case</t>
  </si>
  <si>
    <t>Max NG Case</t>
  </si>
  <si>
    <t>NIST</t>
  </si>
  <si>
    <t>NIST Chemistry WebBook</t>
  </si>
  <si>
    <t>2011</t>
  </si>
  <si>
    <r>
      <t>E.W. Lemmon, M.O. McLinden and D.G. Friend, "Thermophysical Properties of Fluid Systems" in </t>
    </r>
    <r>
      <rPr>
        <sz val="10"/>
        <color rgb="FF000000"/>
        <rFont val="Arial"/>
        <family val="2"/>
      </rPr>
      <t>NIST Chemistry WebBook, NIST Standard Reference Database Number 69, Eds. P.J. Linstrom and W.G. Mallard, National Institute of Standards and Technology, Gaithersburg MD, 20899, http://webbook.nist.gov, (retrieved March 21, 2014)</t>
    </r>
  </si>
  <si>
    <t>Water Enthalpy</t>
  </si>
  <si>
    <t>http://webbook.nist.gov</t>
  </si>
  <si>
    <t>FW_Temp*4.297+-5.208</t>
  </si>
  <si>
    <t>[kJ/kg] Feedwater enthalpy</t>
  </si>
  <si>
    <t>Soln_Gas_CSS</t>
  </si>
  <si>
    <t>Boiler_NGin_Net</t>
  </si>
  <si>
    <t>Boiler_NGin</t>
  </si>
  <si>
    <t>SOR_CSS_Wet</t>
  </si>
  <si>
    <t>Wet_Stm_H</t>
  </si>
  <si>
    <t>IF(In_Situ=0;2472;2447)</t>
  </si>
  <si>
    <t>FW_H</t>
  </si>
  <si>
    <t>Wet_Stm_H-FW_H</t>
  </si>
  <si>
    <t>SOR_SAGD_Wet</t>
  </si>
  <si>
    <t>Delta_H</t>
  </si>
  <si>
    <t>SOR_Wet</t>
  </si>
  <si>
    <t>IF(In_Situ=0;SOR_SAGD_Wet;SOR_CSS_Wet)</t>
  </si>
  <si>
    <t>SOR_Wet*Delta_H*1000/NG_HHV/Boiler_HHV_Eff</t>
  </si>
  <si>
    <t>Soln_Gas</t>
  </si>
  <si>
    <t>IF(In_Situ=0;Soln_Gas_SAGD;Soln_Gas_CSS)</t>
  </si>
  <si>
    <t>SAGD Calculations</t>
  </si>
  <si>
    <t>CSS Calculations</t>
  </si>
  <si>
    <t>Calculation of process input and output flows for SAGD</t>
  </si>
  <si>
    <t>Calculation of process input and output flows for CSS</t>
  </si>
  <si>
    <t>Alberta</t>
  </si>
  <si>
    <t>No</t>
  </si>
  <si>
    <t>Energy use, feedstock, and emissions from production of 1 kg Dilbit, Synbit, or SCO upgrader feed</t>
  </si>
  <si>
    <t>Recovered and Extracted Dilbit, Synbit, or Upgrader Feed</t>
  </si>
  <si>
    <t>Oil Sands In Situ Extraction</t>
  </si>
  <si>
    <t>Table 2 contains GHOST Model input inventory ranges for SAGD Recovery and Extraction, Upgrading and Transport; Table S3 contains default input values for SAGD and Delayed Coking example project used in the sensitivity analysis; Table S2 contains Ranges of products and properties included in the GHOST model.</t>
  </si>
  <si>
    <t>Reference [1]</t>
  </si>
  <si>
    <t>Reference [1,2]</t>
  </si>
  <si>
    <t>Reference [1,2,3]</t>
  </si>
  <si>
    <t>Reference [4]</t>
  </si>
  <si>
    <t>Reference [5]</t>
  </si>
  <si>
    <t>Reference [2]</t>
  </si>
  <si>
    <t>Note: All inputs and outputs are normalized per the reference flow (e.g., per kg of Dilbit, Synbit, or Upgrader Feed)</t>
  </si>
  <si>
    <t>Dilbit [Crude Oil Products]</t>
  </si>
  <si>
    <t>Synbit[Crude Oil Products]</t>
  </si>
  <si>
    <t>Elec_In</t>
  </si>
  <si>
    <t>[deg C] Temperature of boiler feedwater</t>
  </si>
  <si>
    <t>Dilbit</t>
  </si>
  <si>
    <t>IF(Finished_Prod=0;1;0)</t>
  </si>
  <si>
    <t>Synbit</t>
  </si>
  <si>
    <t>IF(Finished_Prod=1;1;0)</t>
  </si>
  <si>
    <t>Upgrade</t>
  </si>
  <si>
    <t>IF(Finished_Prod=2;1;0)</t>
  </si>
  <si>
    <t>In Situ Extracted Bitumen plus Diluent to Upgrader [Crude Oil Products]</t>
  </si>
  <si>
    <t>Elec_Out</t>
  </si>
  <si>
    <t>Flar_CO2_IS_n</t>
  </si>
  <si>
    <t>Fug_CH4_IS_n</t>
  </si>
  <si>
    <t>IF(In_Situ=0;Flar_CO2_SAGD_n;Flar_CO2_CSS_n)</t>
  </si>
  <si>
    <t>IF(In_Situ=0;Fug_CH4_SAGD_n;Fug_CH4_CSS_n)</t>
  </si>
  <si>
    <t>[kg/kg] Flared emissions from bitumen extraction processes, normalized to 1 kg of bitumen/diluent mixture out</t>
  </si>
  <si>
    <t>[kg/kg] Fugitive emissions from bitumen extraction processes, normalized to 1 kg of bitumen/diluent mixture out</t>
  </si>
  <si>
    <t>Co-product</t>
  </si>
  <si>
    <t>Abbreviations used throughout this DS:</t>
  </si>
  <si>
    <t xml:space="preserve"> CSS - Cyclic Steam Stimulation; SAGD - Steam Assisted Gravity Drainage; SOR - Steam to Oil Ratio</t>
  </si>
  <si>
    <t>[kJ/kg] Delta H for steam generation</t>
  </si>
  <si>
    <t>[kJ/m3] Natural gas HHV</t>
  </si>
  <si>
    <t>[m3/m3] Solution gas production for SAGD</t>
  </si>
  <si>
    <t>[m3/m3] Solution gas production for CSS</t>
  </si>
  <si>
    <t>[m3/m3] Steam to oil ratio for SAGD on a dry steam basis</t>
  </si>
  <si>
    <t>[m3/m3] Steam to oil ratio for SAGD on a wet steam basis</t>
  </si>
  <si>
    <t>[m3/m3] Steam to oil ratio for CSS on a wet steam basis</t>
  </si>
  <si>
    <t>[m3/m3] Steam to oil ratio for selected technology on a wet steam basis</t>
  </si>
  <si>
    <t>[m3/m3] Solution gas production for selected technology</t>
  </si>
  <si>
    <t>[m3/m3] Total gas requirement for boiler</t>
  </si>
  <si>
    <t>[m3/m3] Natural gas import requirement for boiler</t>
  </si>
  <si>
    <t>1,2</t>
  </si>
  <si>
    <t>Natural gas input - Cogen</t>
  </si>
  <si>
    <t>Density data</t>
  </si>
  <si>
    <t>Enthalpy data</t>
  </si>
  <si>
    <t>SAGD Proces Inputs/Outputs</t>
  </si>
  <si>
    <t>CSS Proces Inputs/Outputs</t>
  </si>
  <si>
    <t>Assumption [3]</t>
  </si>
  <si>
    <t>Assumption [1]</t>
  </si>
  <si>
    <t>Assumption [2]</t>
  </si>
  <si>
    <t>Density and HHV of the solution gas are equal to that of natural gas</t>
  </si>
  <si>
    <t>Same flaring emissions for CSS as for SAGD since no data are available for CSS</t>
  </si>
  <si>
    <t>Gas Requirements:</t>
  </si>
  <si>
    <t>Electricity/Steam Production</t>
  </si>
  <si>
    <t>Gas Turbine Efficiency</t>
  </si>
  <si>
    <t>MJ/m3</t>
  </si>
  <si>
    <t>MJ</t>
  </si>
  <si>
    <t>Net NG Import</t>
  </si>
  <si>
    <t>m3 NG/m3 bitumen</t>
  </si>
  <si>
    <t>m3</t>
  </si>
  <si>
    <t>MWh/m3</t>
  </si>
  <si>
    <t>Gas_Turb_Ef_HHV</t>
  </si>
  <si>
    <t>Nat_Gas_HHV</t>
  </si>
  <si>
    <t>[MJ/m3] HHV of natural gas</t>
  </si>
  <si>
    <t>[m3/m3] Natural gas requirement for Coker unit electricity/steam production - Cogen</t>
  </si>
  <si>
    <t>[m3/m3] Natural gas requirement for Hydrocracker unit electricity/steam production - Cogen</t>
  </si>
  <si>
    <t>[m3/m3] Net natural gas requirement for Coker - Cogen</t>
  </si>
  <si>
    <t>[m3/m3] Net natural gas requirement for Hydrocracker - Cogen</t>
  </si>
  <si>
    <t>NG_Density</t>
  </si>
  <si>
    <t>kg/m3</t>
  </si>
  <si>
    <t>[kg/m3] Density of natural gas</t>
  </si>
  <si>
    <t>Elec_Cogen_SAGD</t>
  </si>
  <si>
    <t>Bit_Density</t>
  </si>
  <si>
    <t>[kg/m3] Density of bitumen</t>
  </si>
  <si>
    <t>Elec_Cogen_SAGD*3600/Gas_Turb_Ef_HHV/Nat_Gas_HHV</t>
  </si>
  <si>
    <t>Elec_Cogen_CSS*3600/Gas_Turb_Ef_HHV/Nat_Gas_HHV</t>
  </si>
  <si>
    <t>Elec_Cogen_CSS</t>
  </si>
  <si>
    <t>[MWh/m3] Electricity produced from SAGD extraction with cogen</t>
  </si>
  <si>
    <t>[MWh/m3] Electricity produced from CSS extraction with cogen</t>
  </si>
  <si>
    <t>NG_Cogen_SAGD</t>
  </si>
  <si>
    <t>NG_Cogen_CSS</t>
  </si>
  <si>
    <t>Net_NG_Co_SAGD</t>
  </si>
  <si>
    <t>Net_NG_Co_CSS</t>
  </si>
  <si>
    <t>NG_Cogen_SAGD-Soln_Gas_SAGD</t>
  </si>
  <si>
    <t>NG_Cogen_CSS-Soln_Gas_CSS</t>
  </si>
  <si>
    <t>Net_NG_Co_SAGD/Bit_Density*NG_Density</t>
  </si>
  <si>
    <t>Net_NG_Co_CSS/Bit_Density*NG_Density</t>
  </si>
  <si>
    <t>Boiler_NGin_Net/Bit_Density*NG_Density</t>
  </si>
  <si>
    <t>IF(In_Situ=0;NG_In_Co_SAGD;NG_In_Co_CSS)</t>
  </si>
  <si>
    <t>This unit process provides a summary of relevant input and output flows associated with the In Situ extraction of Canadian Oil Sands. The process allows the user to choose either SAGD or CSS In Situ extraction technology. The processes allows the user to choose the type of product produced (i.e. dilbit, synbit, or upgrader feed), which thereby determines the diluent type and amount. Units that include cogeneration facilities export electricity.</t>
  </si>
  <si>
    <t>[dimensionless] Gas turbine HHV electricity generation efficiency</t>
  </si>
  <si>
    <t>SCO Pathway Transport (naphtha)</t>
  </si>
  <si>
    <t>[kg] Total mass leaving the extraction process per kg of bitumen - include bitumen plus any added diluent</t>
  </si>
  <si>
    <t>[kg/kg] Natural gas input for bitumen extraction processes, normalized to 1 kg of bitumen/diluent mixture out</t>
  </si>
  <si>
    <t>Charpentier, A. D., Kofoworola, O., Bergerson, J. A., &amp; MacLean, H. L. (2011). Life Cycle Greenhouse Gas Emissions of Current Oil Sands Technologies: GHOST Model Development and Illustrative Application. Environmental Science &amp; Technology, 45(21), 9393-9404. doi: 10.1021/es103912m</t>
  </si>
  <si>
    <t>Bergerson, J. A., Kofoworola, O., Charpentier, A. D., Sleep, S., &amp; MacLean, H. L. (2012). Life Cycle Greenhouse Gas Emissions of Current Oil Sands Technologies: Surface Mining and In Situ Applications. Environmental Science &amp; Technology, 46(14), 7865-7874. doi: 10.1021/es300718h</t>
  </si>
  <si>
    <t>[kg] Dilbit finished product</t>
  </si>
  <si>
    <t>[kg] Synbit finished product</t>
  </si>
  <si>
    <t>[kg] Bitumen plus diluent to upgrader</t>
  </si>
  <si>
    <t>1,4</t>
  </si>
  <si>
    <t>This unit process is composed of this document and the file, Stage1_O_Oil_Sands_In_Situ_Recovery_Extraction.docx, which provides additional details regarding calculations, data quality, and references as relevant.</t>
  </si>
  <si>
    <t>Instantaneous Steam-to-Oil ratio (iSOR dry)</t>
  </si>
  <si>
    <t>Excess Electricity</t>
  </si>
  <si>
    <t>Boiler_NGIn-Soln_Gas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</si>
</sst>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vertAlign val="superscript"/>
      <sz val="10"/>
      <name val="Arial"/>
      <family val="2"/>
    </font>
    <font>
      <vertAlign val="subscript"/>
      <sz val="11"/>
      <color theme="1"/>
      <name val="Calibri"/>
      <family val="2"/>
      <scheme val="minor"/>
    </font>
    <font>
      <i/>
      <sz val="11"/>
      <color theme="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3" fillId="0" borderId="0"/>
    <xf numFmtId="0" fontId="17" fillId="0" borderId="0" applyNumberFormat="0" applyFill="0" applyBorder="0" applyAlignment="0" applyProtection="0">
      <alignment vertical="top"/>
      <protection locked="0"/>
    </xf>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2" borderId="0" applyNumberFormat="0" applyBorder="0" applyAlignment="0" applyProtection="0"/>
    <xf numFmtId="0" fontId="28" fillId="16" borderId="0" applyNumberFormat="0" applyBorder="0" applyAlignment="0" applyProtection="0"/>
    <xf numFmtId="0" fontId="29" fillId="33" borderId="30" applyNumberFormat="0" applyAlignment="0" applyProtection="0"/>
    <xf numFmtId="0" fontId="30" fillId="34" borderId="31" applyNumberFormat="0" applyAlignment="0" applyProtection="0"/>
    <xf numFmtId="43" fontId="3" fillId="0" borderId="0" applyFont="0" applyFill="0" applyBorder="0" applyAlignment="0" applyProtection="0"/>
    <xf numFmtId="166" fontId="3" fillId="0" borderId="0" applyFont="0" applyFill="0" applyBorder="0" applyAlignment="0" applyProtection="0">
      <alignment wrapText="1"/>
    </xf>
    <xf numFmtId="166" fontId="3" fillId="0" borderId="0" applyFont="0" applyFill="0" applyBorder="0" applyAlignment="0" applyProtection="0">
      <alignment wrapText="1"/>
    </xf>
    <xf numFmtId="167" fontId="20" fillId="0" borderId="0" applyFont="0" applyFill="0" applyBorder="0" applyAlignment="0" applyProtection="0">
      <alignment vertical="center"/>
    </xf>
    <xf numFmtId="0" fontId="31" fillId="0" borderId="0" applyNumberFormat="0" applyFill="0" applyBorder="0" applyAlignment="0" applyProtection="0"/>
    <xf numFmtId="0" fontId="32" fillId="17" borderId="0" applyNumberFormat="0" applyBorder="0" applyAlignment="0" applyProtection="0"/>
    <xf numFmtId="0" fontId="33" fillId="0" borderId="32"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7" fillId="20" borderId="30" applyNumberFormat="0" applyAlignment="0" applyProtection="0"/>
    <xf numFmtId="0" fontId="38" fillId="0" borderId="35" applyNumberFormat="0" applyFill="0" applyAlignment="0" applyProtection="0"/>
    <xf numFmtId="0" fontId="39" fillId="35" borderId="0" applyNumberFormat="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40" fillId="33" borderId="37"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37" borderId="38" applyNumberFormat="0" applyProtection="0">
      <alignment horizontal="center" wrapText="1"/>
    </xf>
    <xf numFmtId="0" fontId="5" fillId="37" borderId="39" applyNumberFormat="0" applyAlignment="0" applyProtection="0">
      <alignment wrapText="1"/>
    </xf>
    <xf numFmtId="0" fontId="3" fillId="38" borderId="0" applyNumberFormat="0" applyBorder="0">
      <alignment horizontal="center" wrapText="1"/>
    </xf>
    <xf numFmtId="0" fontId="3" fillId="38" borderId="0" applyNumberFormat="0" applyBorder="0">
      <alignment horizontal="center" wrapText="1"/>
    </xf>
    <xf numFmtId="0" fontId="3" fillId="39" borderId="40" applyNumberFormat="0">
      <alignment wrapText="1"/>
    </xf>
    <xf numFmtId="0" fontId="3" fillId="39" borderId="40" applyNumberFormat="0">
      <alignment wrapText="1"/>
    </xf>
    <xf numFmtId="0" fontId="3" fillId="39" borderId="0" applyNumberFormat="0" applyBorder="0">
      <alignment wrapText="1"/>
    </xf>
    <xf numFmtId="0" fontId="3" fillId="39"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68" fontId="3" fillId="0" borderId="0" applyFill="0" applyBorder="0" applyAlignment="0" applyProtection="0">
      <alignment wrapText="1"/>
    </xf>
    <xf numFmtId="168" fontId="3" fillId="0" borderId="0" applyFill="0" applyBorder="0" applyAlignment="0" applyProtection="0">
      <alignment wrapText="1"/>
    </xf>
    <xf numFmtId="169" fontId="3" fillId="0" borderId="0" applyFill="0" applyBorder="0" applyAlignment="0" applyProtection="0">
      <alignment wrapText="1"/>
    </xf>
    <xf numFmtId="169" fontId="3" fillId="0" borderId="0" applyFill="0" applyBorder="0" applyAlignment="0" applyProtection="0">
      <alignment wrapText="1"/>
    </xf>
    <xf numFmtId="170" fontId="3" fillId="0" borderId="0" applyFill="0" applyBorder="0" applyAlignment="0" applyProtection="0">
      <alignment wrapText="1"/>
    </xf>
    <xf numFmtId="170"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8" fontId="3" fillId="0" borderId="0" applyFill="0" applyBorder="0" applyAlignment="0" applyProtection="0">
      <alignment wrapText="1"/>
    </xf>
    <xf numFmtId="0" fontId="41"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171" fontId="42" fillId="0" borderId="0">
      <alignment horizontal="center" vertical="center"/>
    </xf>
    <xf numFmtId="0" fontId="43" fillId="0" borderId="0" applyNumberFormat="0" applyFill="0" applyBorder="0" applyAlignment="0" applyProtection="0"/>
    <xf numFmtId="0" fontId="44" fillId="0" borderId="41" applyNumberFormat="0" applyFill="0" applyAlignment="0" applyProtection="0"/>
    <xf numFmtId="0" fontId="45" fillId="0" borderId="0" applyNumberFormat="0" applyFill="0" applyBorder="0" applyAlignment="0" applyProtection="0"/>
    <xf numFmtId="172" fontId="3" fillId="0" borderId="0">
      <alignment horizontal="center" vertical="center"/>
    </xf>
    <xf numFmtId="172" fontId="3" fillId="0" borderId="0">
      <alignment horizontal="center" vertical="center"/>
    </xf>
  </cellStyleXfs>
  <cellXfs count="366">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5" fillId="3" borderId="2"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14" fontId="3" fillId="2" borderId="0" xfId="2" applyNumberFormat="1" applyFont="1" applyFill="1" applyAlignment="1">
      <alignment horizontal="left"/>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3" fillId="0" borderId="17" xfId="2" applyBorder="1" applyAlignment="1" applyProtection="1">
      <protection locked="0"/>
    </xf>
    <xf numFmtId="0" fontId="3" fillId="0" borderId="18" xfId="2" applyBorder="1" applyProtection="1">
      <protection locked="0"/>
    </xf>
    <xf numFmtId="0" fontId="3" fillId="2" borderId="0" xfId="2" applyFill="1" applyAlignment="1">
      <alignment horizontal="center"/>
    </xf>
    <xf numFmtId="0" fontId="3" fillId="2" borderId="0" xfId="2" applyFill="1" applyAlignment="1">
      <alignment horizontal="right"/>
    </xf>
    <xf numFmtId="0" fontId="3" fillId="0" borderId="2" xfId="2" applyFill="1" applyBorder="1"/>
    <xf numFmtId="0" fontId="3" fillId="0" borderId="4" xfId="2" applyFill="1" applyBorder="1"/>
    <xf numFmtId="0" fontId="3" fillId="2" borderId="0" xfId="2" applyFill="1" applyBorder="1" applyAlignment="1">
      <alignment vertical="top" wrapText="1"/>
    </xf>
    <xf numFmtId="0" fontId="8" fillId="2" borderId="0" xfId="2" applyFont="1" applyFill="1"/>
    <xf numFmtId="0" fontId="8" fillId="0" borderId="0" xfId="2" applyFont="1"/>
    <xf numFmtId="0" fontId="10"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1" fillId="8" borderId="24" xfId="0" applyFont="1" applyFill="1" applyBorder="1"/>
    <xf numFmtId="0" fontId="3" fillId="8" borderId="9" xfId="2" applyFill="1" applyBorder="1"/>
    <xf numFmtId="0" fontId="3" fillId="8" borderId="25" xfId="2" applyFill="1" applyBorder="1"/>
    <xf numFmtId="0" fontId="7"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3"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3" fillId="0" borderId="16" xfId="2" applyBorder="1" applyAlignment="1" applyProtection="1">
      <alignment vertical="top" wrapText="1"/>
      <protection locked="0"/>
    </xf>
    <xf numFmtId="0" fontId="13" fillId="0" borderId="16" xfId="0" applyFont="1" applyFill="1" applyBorder="1"/>
    <xf numFmtId="0" fontId="3" fillId="0" borderId="16" xfId="2" applyFont="1" applyBorder="1" applyAlignment="1" applyProtection="1">
      <alignment vertical="top"/>
      <protection locked="0"/>
    </xf>
    <xf numFmtId="0" fontId="13"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3" fillId="0" borderId="16" xfId="0" applyFont="1" applyBorder="1" applyAlignment="1" applyProtection="1">
      <alignment vertical="top"/>
      <protection locked="0"/>
    </xf>
    <xf numFmtId="0" fontId="3"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9" fillId="2" borderId="0" xfId="2" applyFont="1" applyFill="1"/>
    <xf numFmtId="0" fontId="5" fillId="0" borderId="0" xfId="2" applyFont="1"/>
    <xf numFmtId="0" fontId="14" fillId="2" borderId="0" xfId="2" applyFont="1" applyFill="1"/>
    <xf numFmtId="0" fontId="15" fillId="0" borderId="0" xfId="2" applyFont="1" applyFill="1" applyAlignment="1">
      <alignment horizontal="center"/>
    </xf>
    <xf numFmtId="0" fontId="5" fillId="3" borderId="0" xfId="2" applyFont="1" applyFill="1" applyAlignment="1">
      <alignment vertical="top" wrapText="1"/>
    </xf>
    <xf numFmtId="0" fontId="16" fillId="3" borderId="0" xfId="2" applyFont="1" applyFill="1" applyAlignment="1">
      <alignment horizontal="lef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2"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7"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3"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2" fillId="12" borderId="0" xfId="2" applyFont="1" applyFill="1" applyAlignment="1" applyProtection="1">
      <alignment horizontal="left"/>
      <protection locked="0"/>
    </xf>
    <xf numFmtId="0" fontId="3" fillId="0" borderId="0" xfId="2" applyFont="1" applyFill="1" applyAlignment="1">
      <alignment horizontal="left" vertical="top"/>
    </xf>
    <xf numFmtId="0" fontId="13" fillId="0" borderId="0" xfId="0" applyFont="1" applyAlignment="1">
      <alignment horizontal="left" vertical="top"/>
    </xf>
    <xf numFmtId="0" fontId="3" fillId="0" borderId="0" xfId="2" applyFont="1" applyAlignment="1">
      <alignment horizontal="left" vertical="top"/>
    </xf>
    <xf numFmtId="0" fontId="17" fillId="0" borderId="0" xfId="3" applyFont="1" applyFill="1" applyAlignment="1" applyProtection="1">
      <alignment horizontal="left" vertical="top"/>
      <protection locked="0"/>
    </xf>
    <xf numFmtId="0" fontId="3" fillId="0" borderId="0" xfId="2" applyFont="1" applyFill="1" applyAlignment="1" applyProtection="1">
      <alignment horizontal="left" vertical="top"/>
      <protection locked="0"/>
    </xf>
    <xf numFmtId="0" fontId="3" fillId="0" borderId="0" xfId="3"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3" fillId="0" borderId="0" xfId="2" applyNumberFormat="1" applyFont="1" applyAlignment="1">
      <alignment horizontal="left" vertical="top" wrapText="1"/>
    </xf>
    <xf numFmtId="49" fontId="17" fillId="0" borderId="0" xfId="3" applyNumberFormat="1" applyFont="1" applyFill="1" applyAlignment="1" applyProtection="1">
      <alignment horizontal="left" vertical="top" wrapText="1"/>
      <protection locked="0"/>
    </xf>
    <xf numFmtId="49" fontId="3" fillId="0" borderId="0" xfId="3" applyNumberFormat="1" applyFont="1" applyFill="1" applyAlignment="1" applyProtection="1">
      <alignment horizontal="left" vertical="top" wrapText="1"/>
      <protection locked="0"/>
    </xf>
    <xf numFmtId="0" fontId="3" fillId="12" borderId="0" xfId="2" applyNumberFormat="1" applyFont="1" applyFill="1" applyAlignment="1" applyProtection="1">
      <alignment horizontal="left" vertical="top" wrapText="1"/>
      <protection locked="0"/>
    </xf>
    <xf numFmtId="0" fontId="7" fillId="12" borderId="0" xfId="2" applyFont="1" applyFill="1" applyAlignment="1" applyProtection="1">
      <alignment horizontal="left" vertical="top" wrapText="1"/>
      <protection locked="0"/>
    </xf>
    <xf numFmtId="0" fontId="7"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9"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14" fillId="0" borderId="0" xfId="2" applyFont="1" applyAlignment="1">
      <alignment horizontal="left"/>
    </xf>
    <xf numFmtId="0" fontId="3" fillId="0" borderId="0" xfId="2" applyAlignment="1">
      <alignment horizontal="left"/>
    </xf>
    <xf numFmtId="0" fontId="18"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0" borderId="16" xfId="2" applyFont="1" applyBorder="1" applyAlignment="1">
      <alignment horizontal="left" wrapText="1"/>
    </xf>
    <xf numFmtId="0" fontId="3" fillId="0" borderId="16" xfId="2" applyFont="1" applyBorder="1" applyAlignment="1">
      <alignment horizontal="left"/>
    </xf>
    <xf numFmtId="0" fontId="3" fillId="0" borderId="16" xfId="2" applyFont="1" applyBorder="1"/>
    <xf numFmtId="0" fontId="3" fillId="0" borderId="16" xfId="2" applyBorder="1"/>
    <xf numFmtId="0" fontId="3" fillId="5" borderId="16" xfId="2" applyFont="1" applyFill="1" applyBorder="1" applyAlignment="1">
      <alignment horizontal="left" wrapText="1"/>
    </xf>
    <xf numFmtId="0" fontId="7" fillId="5" borderId="16" xfId="2" applyFont="1" applyFill="1" applyBorder="1" applyAlignment="1">
      <alignment horizontal="left" wrapText="1"/>
    </xf>
    <xf numFmtId="0" fontId="7" fillId="5" borderId="16" xfId="2" applyFont="1" applyFill="1" applyBorder="1" applyAlignment="1">
      <alignment horizontal="left"/>
    </xf>
    <xf numFmtId="0" fontId="5" fillId="0" borderId="16" xfId="2" applyFont="1" applyFill="1" applyBorder="1" applyAlignment="1">
      <alignment horizontal="left"/>
    </xf>
    <xf numFmtId="0" fontId="3" fillId="0" borderId="16" xfId="2" applyBorder="1" applyAlignment="1">
      <alignment horizontal="left"/>
    </xf>
    <xf numFmtId="0" fontId="5" fillId="14" borderId="16" xfId="2" applyFont="1" applyFill="1" applyBorder="1" applyAlignment="1">
      <alignment horizontal="left" wrapText="1"/>
    </xf>
    <xf numFmtId="0" fontId="19" fillId="7" borderId="0" xfId="2" applyFont="1" applyFill="1"/>
    <xf numFmtId="0" fontId="3" fillId="7" borderId="0" xfId="2" applyFill="1"/>
    <xf numFmtId="0" fontId="5"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5" fillId="0" borderId="27" xfId="2" applyFont="1" applyBorder="1" applyAlignment="1">
      <alignment wrapText="1"/>
    </xf>
    <xf numFmtId="0" fontId="5"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3" fillId="0" borderId="24" xfId="0" applyFont="1" applyBorder="1"/>
    <xf numFmtId="0" fontId="3" fillId="0" borderId="0" xfId="2" applyFill="1" applyBorder="1"/>
    <xf numFmtId="0" fontId="24" fillId="0" borderId="0" xfId="2" applyFont="1" applyFill="1" applyBorder="1"/>
    <xf numFmtId="0" fontId="25" fillId="0" borderId="0" xfId="2" applyFont="1" applyFill="1" applyBorder="1"/>
    <xf numFmtId="0" fontId="13" fillId="0" borderId="0" xfId="2" applyFont="1" applyFill="1"/>
    <xf numFmtId="0" fontId="13" fillId="0" borderId="0" xfId="0" applyFont="1"/>
    <xf numFmtId="0" fontId="3" fillId="0" borderId="0" xfId="2" applyFont="1" applyFill="1"/>
    <xf numFmtId="0" fontId="3" fillId="0" borderId="0" xfId="2" applyFont="1" applyFill="1" applyAlignment="1">
      <alignment horizontal="right"/>
    </xf>
    <xf numFmtId="0" fontId="3" fillId="0" borderId="0" xfId="2" applyFont="1"/>
    <xf numFmtId="0" fontId="10" fillId="0" borderId="0" xfId="2" applyFont="1"/>
    <xf numFmtId="0" fontId="5" fillId="0" borderId="9" xfId="2" applyFont="1" applyBorder="1"/>
    <xf numFmtId="2" fontId="13" fillId="0" borderId="0" xfId="0" applyNumberFormat="1" applyFont="1"/>
    <xf numFmtId="2" fontId="13" fillId="0" borderId="0" xfId="0" applyNumberFormat="1" applyFont="1" applyFill="1" applyBorder="1"/>
    <xf numFmtId="0" fontId="3" fillId="0" borderId="0" xfId="2" applyNumberFormat="1" applyFont="1"/>
    <xf numFmtId="165" fontId="3" fillId="0" borderId="0" xfId="2" applyNumberFormat="1" applyFont="1"/>
    <xf numFmtId="164" fontId="12" fillId="0" borderId="0" xfId="0" applyNumberFormat="1" applyFont="1" applyFill="1" applyBorder="1" applyAlignment="1">
      <alignment horizontal="right" vertical="center"/>
    </xf>
    <xf numFmtId="0" fontId="3" fillId="0" borderId="0" xfId="0" applyFont="1" applyBorder="1"/>
    <xf numFmtId="164" fontId="3" fillId="0" borderId="0" xfId="0" applyNumberFormat="1" applyFont="1"/>
    <xf numFmtId="0" fontId="3" fillId="0" borderId="0" xfId="0" applyFont="1" applyFill="1" applyBorder="1"/>
    <xf numFmtId="0" fontId="17" fillId="0" borderId="0" xfId="3" applyFont="1" applyAlignment="1" applyProtection="1"/>
    <xf numFmtId="0" fontId="3" fillId="0" borderId="10" xfId="2" applyFont="1" applyFill="1" applyBorder="1" applyAlignment="1">
      <alignment horizontal="center" vertical="center" wrapText="1"/>
    </xf>
    <xf numFmtId="0" fontId="13" fillId="0" borderId="0" xfId="2" applyFont="1" applyFill="1" applyBorder="1"/>
    <xf numFmtId="0" fontId="13" fillId="0" borderId="0" xfId="0" applyFont="1" applyBorder="1"/>
    <xf numFmtId="0" fontId="15" fillId="0" borderId="0" xfId="2" applyFont="1" applyFill="1" applyBorder="1" applyAlignment="1">
      <alignment horizontal="center"/>
    </xf>
    <xf numFmtId="0" fontId="0" fillId="0" borderId="0" xfId="0" applyBorder="1"/>
    <xf numFmtId="0" fontId="2" fillId="0" borderId="0" xfId="0" applyFont="1"/>
    <xf numFmtId="0" fontId="2" fillId="0" borderId="0" xfId="0" applyFont="1" applyAlignment="1">
      <alignment horizont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left"/>
    </xf>
    <xf numFmtId="9" fontId="0" fillId="0" borderId="0" xfId="0" applyNumberFormat="1"/>
    <xf numFmtId="0" fontId="0" fillId="0" borderId="0" xfId="0" applyAlignment="1">
      <alignment horizontal="right"/>
    </xf>
    <xf numFmtId="0" fontId="0" fillId="6" borderId="0" xfId="0" applyFill="1" applyAlignment="1">
      <alignment horizontal="center"/>
    </xf>
    <xf numFmtId="9" fontId="0" fillId="6" borderId="0" xfId="0" applyNumberFormat="1" applyFill="1" applyAlignment="1">
      <alignment horizontal="center"/>
    </xf>
    <xf numFmtId="0" fontId="0" fillId="6" borderId="0" xfId="0" applyFill="1"/>
    <xf numFmtId="0" fontId="3" fillId="0" borderId="0" xfId="2" applyFont="1" applyFill="1" applyAlignment="1" applyProtection="1">
      <alignment horizontal="center" vertical="top" wrapText="1"/>
      <protection locked="0"/>
    </xf>
    <xf numFmtId="0" fontId="3" fillId="12" borderId="0" xfId="2" applyFont="1" applyFill="1" applyAlignment="1" applyProtection="1">
      <alignment horizontal="center" vertical="top" wrapText="1"/>
      <protection locked="0"/>
    </xf>
    <xf numFmtId="0" fontId="3" fillId="0" borderId="0" xfId="2" applyNumberFormat="1" applyFont="1" applyFill="1" applyAlignment="1" applyProtection="1">
      <alignment horizontal="center" vertical="top" wrapText="1"/>
      <protection locked="0"/>
    </xf>
    <xf numFmtId="49" fontId="3" fillId="0" borderId="0" xfId="2" applyNumberFormat="1" applyFont="1" applyFill="1" applyAlignment="1" applyProtection="1">
      <alignment horizontal="center" vertical="top" wrapText="1"/>
      <protection locked="0"/>
    </xf>
    <xf numFmtId="49" fontId="3" fillId="12" borderId="0" xfId="2" applyNumberFormat="1" applyFont="1" applyFill="1" applyAlignment="1" applyProtection="1">
      <alignment horizontal="center" vertical="top" wrapText="1"/>
      <protection locked="0"/>
    </xf>
    <xf numFmtId="0" fontId="13" fillId="0" borderId="0" xfId="0" applyFont="1" applyAlignment="1">
      <alignment horizontal="center" vertical="top"/>
    </xf>
    <xf numFmtId="49" fontId="13" fillId="0" borderId="0" xfId="0" applyNumberFormat="1" applyFont="1" applyAlignment="1">
      <alignment horizontal="center" vertical="top" wrapText="1"/>
    </xf>
    <xf numFmtId="0" fontId="3" fillId="0" borderId="0" xfId="2" applyFill="1" applyAlignment="1" applyProtection="1">
      <alignment horizontal="center" vertical="top" wrapText="1"/>
      <protection locked="0"/>
    </xf>
    <xf numFmtId="0" fontId="3" fillId="12" borderId="0" xfId="2" applyFill="1" applyAlignment="1" applyProtection="1">
      <alignment horizontal="center" vertical="top" wrapText="1"/>
      <protection locked="0"/>
    </xf>
    <xf numFmtId="49" fontId="3" fillId="0" borderId="0" xfId="2" applyNumberFormat="1" applyFill="1" applyAlignment="1" applyProtection="1">
      <alignment horizontal="center" vertical="top" wrapText="1"/>
      <protection locked="0"/>
    </xf>
    <xf numFmtId="49" fontId="3" fillId="12" borderId="0" xfId="2" applyNumberFormat="1" applyFill="1" applyAlignment="1" applyProtection="1">
      <alignment horizontal="center" vertical="top" wrapText="1"/>
      <protection locked="0"/>
    </xf>
    <xf numFmtId="0" fontId="0" fillId="0" borderId="0" xfId="0" applyFill="1" applyAlignment="1">
      <alignment horizontal="center"/>
    </xf>
    <xf numFmtId="0" fontId="17" fillId="0" borderId="0" xfId="3" applyAlignment="1" applyProtection="1">
      <alignment horizontal="center" vertical="top" wrapText="1"/>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48" fillId="0" borderId="0" xfId="0" applyFont="1" applyAlignment="1">
      <alignment horizontal="left"/>
    </xf>
    <xf numFmtId="0" fontId="0" fillId="0" borderId="0" xfId="0" applyFill="1"/>
    <xf numFmtId="9" fontId="0" fillId="0" borderId="0" xfId="0" applyNumberFormat="1" applyFill="1" applyAlignment="1">
      <alignment horizontal="center"/>
    </xf>
    <xf numFmtId="0" fontId="0" fillId="0" borderId="0" xfId="0" applyFont="1" applyAlignment="1">
      <alignment horizontal="center"/>
    </xf>
    <xf numFmtId="173" fontId="0" fillId="0" borderId="0" xfId="0" applyNumberFormat="1"/>
    <xf numFmtId="11" fontId="0" fillId="6" borderId="0" xfId="0" applyNumberFormat="1" applyFill="1" applyAlignment="1">
      <alignment horizontal="center"/>
    </xf>
    <xf numFmtId="11" fontId="0" fillId="6" borderId="0" xfId="0" applyNumberFormat="1" applyFill="1"/>
    <xf numFmtId="173" fontId="0" fillId="0" borderId="0" xfId="0" applyNumberFormat="1" applyFill="1"/>
    <xf numFmtId="164" fontId="0" fillId="0" borderId="0" xfId="0" applyNumberFormat="1" applyFill="1"/>
    <xf numFmtId="173" fontId="0" fillId="0" borderId="0" xfId="0" applyNumberFormat="1" applyAlignment="1">
      <alignment horizontal="right"/>
    </xf>
    <xf numFmtId="0" fontId="0" fillId="0" borderId="0" xfId="0" applyAlignment="1">
      <alignment wrapText="1"/>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11" fontId="13" fillId="0" borderId="16" xfId="0" applyNumberFormat="1" applyFont="1" applyFill="1" applyBorder="1"/>
    <xf numFmtId="0" fontId="3" fillId="0" borderId="16" xfId="2" applyFont="1" applyFill="1" applyBorder="1" applyProtection="1">
      <protection locked="0"/>
    </xf>
    <xf numFmtId="173" fontId="13" fillId="0" borderId="16" xfId="0" applyNumberFormat="1" applyFont="1" applyFill="1" applyBorder="1"/>
    <xf numFmtId="0" fontId="0" fillId="0" borderId="0" xfId="0" applyNumberFormat="1" applyAlignment="1">
      <alignment horizontal="center"/>
    </xf>
    <xf numFmtId="0" fontId="0" fillId="0" borderId="0" xfId="0" applyNumberFormat="1"/>
    <xf numFmtId="0" fontId="3" fillId="0" borderId="0" xfId="2" applyAlignment="1">
      <alignment horizontal="center"/>
    </xf>
    <xf numFmtId="2" fontId="13" fillId="0" borderId="16" xfId="0" applyNumberFormat="1" applyFont="1" applyFill="1" applyBorder="1"/>
    <xf numFmtId="0" fontId="48" fillId="0" borderId="0" xfId="0" applyFont="1" applyFill="1" applyAlignment="1">
      <alignment horizontal="left"/>
    </xf>
    <xf numFmtId="0" fontId="0" fillId="0" borderId="0" xfId="0" applyFill="1" applyAlignment="1">
      <alignment horizontal="right"/>
    </xf>
    <xf numFmtId="0" fontId="2" fillId="0" borderId="0" xfId="0" applyFont="1" applyFill="1"/>
    <xf numFmtId="0" fontId="2" fillId="0" borderId="0" xfId="0" applyFont="1" applyFill="1" applyAlignment="1">
      <alignment horizontal="center"/>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173" fontId="0" fillId="0" borderId="0" xfId="0" applyNumberFormat="1" applyAlignment="1">
      <alignment horizontal="center"/>
    </xf>
    <xf numFmtId="0" fontId="3" fillId="0" borderId="1" xfId="2" applyFont="1" applyBorder="1" applyAlignment="1" applyProtection="1">
      <protection locked="0"/>
    </xf>
    <xf numFmtId="0" fontId="3" fillId="0" borderId="18" xfId="2" applyFont="1" applyBorder="1" applyProtection="1">
      <protection locked="0"/>
    </xf>
    <xf numFmtId="0" fontId="0" fillId="0" borderId="0" xfId="0" applyBorder="1" applyAlignment="1">
      <alignment horizontal="center"/>
    </xf>
    <xf numFmtId="173" fontId="13" fillId="0" borderId="0" xfId="0" applyNumberFormat="1" applyFont="1" applyAlignment="1">
      <alignment horizontal="center"/>
    </xf>
    <xf numFmtId="0" fontId="13" fillId="0" borderId="20" xfId="0" applyFont="1" applyBorder="1" applyAlignment="1">
      <alignment horizontal="center"/>
    </xf>
    <xf numFmtId="0" fontId="13" fillId="0" borderId="20" xfId="0" applyFont="1" applyBorder="1"/>
    <xf numFmtId="0" fontId="0" fillId="0" borderId="20" xfId="0" applyBorder="1" applyAlignment="1">
      <alignment horizontal="center"/>
    </xf>
    <xf numFmtId="0" fontId="0" fillId="0" borderId="20" xfId="0" applyBorder="1"/>
    <xf numFmtId="0" fontId="3" fillId="5" borderId="16" xfId="2" applyFont="1" applyFill="1" applyBorder="1" applyAlignment="1">
      <alignment horizontal="center"/>
    </xf>
    <xf numFmtId="164" fontId="13" fillId="0" borderId="16" xfId="0" applyNumberFormat="1" applyFont="1" applyFill="1" applyBorder="1"/>
    <xf numFmtId="11" fontId="13" fillId="10" borderId="16" xfId="0" applyNumberFormat="1" applyFont="1" applyFill="1" applyBorder="1" applyAlignment="1" applyProtection="1">
      <alignment vertical="top"/>
      <protection hidden="1"/>
    </xf>
    <xf numFmtId="2" fontId="0" fillId="0" borderId="0" xfId="0" applyNumberFormat="1" applyAlignment="1">
      <alignment horizontal="center"/>
    </xf>
    <xf numFmtId="1" fontId="0" fillId="0" borderId="0" xfId="0" applyNumberFormat="1" applyAlignment="1">
      <alignment horizontal="center"/>
    </xf>
    <xf numFmtId="0" fontId="3" fillId="0" borderId="10" xfId="2" applyFont="1" applyBorder="1" applyAlignment="1" applyProtection="1">
      <alignment horizontal="left"/>
      <protection locked="0"/>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4" fillId="2" borderId="0" xfId="2" applyFont="1" applyFill="1" applyAlignment="1">
      <alignment horizontal="center"/>
    </xf>
    <xf numFmtId="0" fontId="5" fillId="3" borderId="2"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3" borderId="4" xfId="2" applyFont="1" applyFill="1" applyBorder="1" applyAlignment="1">
      <alignment horizontal="left" vertical="center" wrapText="1"/>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1"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5" fillId="3" borderId="16" xfId="2" applyFont="1" applyFill="1" applyBorder="1" applyAlignment="1">
      <alignment horizontal="left"/>
    </xf>
    <xf numFmtId="0" fontId="3" fillId="0" borderId="16" xfId="2" applyBorder="1" applyAlignment="1" applyProtection="1">
      <alignment horizontal="left"/>
      <protection locked="0"/>
    </xf>
    <xf numFmtId="0" fontId="3" fillId="7" borderId="16" xfId="2" applyFont="1" applyFill="1"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3" fillId="0" borderId="1" xfId="2" applyFont="1" applyBorder="1" applyAlignment="1" applyProtection="1">
      <alignment horizontal="left" vertical="top" wrapText="1"/>
      <protection locked="0"/>
    </xf>
    <xf numFmtId="0" fontId="3" fillId="0" borderId="10"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3" fillId="0" borderId="1" xfId="2"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xf>
    <xf numFmtId="0" fontId="5" fillId="3" borderId="17" xfId="2" applyFont="1" applyFill="1" applyBorder="1" applyAlignment="1">
      <alignment horizontal="left"/>
    </xf>
    <xf numFmtId="0" fontId="11" fillId="8" borderId="22" xfId="0" applyFont="1" applyFill="1" applyBorder="1" applyAlignment="1">
      <alignment horizontal="left" vertical="top" wrapText="1" readingOrder="1"/>
    </xf>
    <xf numFmtId="0" fontId="11" fillId="8" borderId="0" xfId="0" applyFont="1" applyFill="1" applyBorder="1" applyAlignment="1">
      <alignment horizontal="left" vertical="top" wrapText="1" readingOrder="1"/>
    </xf>
    <xf numFmtId="0" fontId="11" fillId="8" borderId="23" xfId="0" applyFont="1" applyFill="1" applyBorder="1" applyAlignment="1">
      <alignment horizontal="left" vertical="top" wrapText="1" readingOrder="1"/>
    </xf>
    <xf numFmtId="0" fontId="5" fillId="3" borderId="16" xfId="2" applyFont="1" applyFill="1" applyBorder="1" applyAlignment="1">
      <alignment horizontal="center"/>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3" fillId="0" borderId="16" xfId="0" applyFont="1" applyBorder="1" applyAlignment="1" applyProtection="1">
      <alignment horizontal="left" vertical="top" wrapText="1"/>
      <protection locked="0"/>
    </xf>
    <xf numFmtId="0" fontId="3" fillId="9" borderId="16" xfId="2" applyFill="1" applyBorder="1" applyAlignment="1">
      <alignment horizontal="center" vertical="top" wrapText="1"/>
    </xf>
    <xf numFmtId="0" fontId="3" fillId="0" borderId="16" xfId="2" applyFont="1" applyFill="1" applyBorder="1" applyAlignment="1" applyProtection="1">
      <alignment horizontal="left" vertical="top" wrapText="1"/>
      <protection locked="0"/>
    </xf>
    <xf numFmtId="0" fontId="3" fillId="0" borderId="1" xfId="2" applyFont="1" applyFill="1" applyBorder="1" applyAlignment="1" applyProtection="1">
      <alignment horizontal="left" vertical="top" wrapText="1"/>
      <protection locked="0"/>
    </xf>
    <xf numFmtId="0" fontId="3" fillId="0" borderId="10" xfId="2" applyFont="1" applyFill="1" applyBorder="1" applyAlignment="1" applyProtection="1">
      <alignment horizontal="left" vertical="top" wrapText="1"/>
      <protection locked="0"/>
    </xf>
    <xf numFmtId="0" fontId="3" fillId="0" borderId="17" xfId="2"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15" fillId="0" borderId="0" xfId="2" applyFont="1" applyFill="1" applyAlignment="1">
      <alignment horizontal="center"/>
    </xf>
    <xf numFmtId="0" fontId="5" fillId="0" borderId="16" xfId="2" applyFont="1" applyFill="1" applyBorder="1" applyAlignment="1">
      <alignment horizontal="left" wrapText="1"/>
    </xf>
    <xf numFmtId="0" fontId="5" fillId="10" borderId="26" xfId="2" applyFont="1" applyFill="1" applyBorder="1" applyAlignment="1">
      <alignment horizontal="center" wrapText="1"/>
    </xf>
    <xf numFmtId="0" fontId="5" fillId="10" borderId="27"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26" xfId="2" applyFont="1" applyBorder="1" applyAlignment="1">
      <alignment horizontal="center" wrapText="1"/>
    </xf>
    <xf numFmtId="0" fontId="5" fillId="0" borderId="29" xfId="2" applyFont="1" applyBorder="1" applyAlignment="1">
      <alignment horizontal="center" wrapText="1"/>
    </xf>
    <xf numFmtId="0" fontId="5"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10" fillId="0" borderId="0" xfId="2" applyFont="1" applyAlignment="1">
      <alignment horizontal="center"/>
    </xf>
    <xf numFmtId="0" fontId="5"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542925</xdr:colOff>
      <xdr:row>125</xdr:row>
      <xdr:rowOff>161925</xdr:rowOff>
    </xdr:from>
    <xdr:to>
      <xdr:col>2</xdr:col>
      <xdr:colOff>1571625</xdr:colOff>
      <xdr:row>136</xdr:row>
      <xdr:rowOff>89647</xdr:rowOff>
    </xdr:to>
    <xdr:sp macro="" textlink="">
      <xdr:nvSpPr>
        <xdr:cNvPr id="17" name="Rectangle 16">
          <a:extLst>
            <a:ext uri="{FF2B5EF4-FFF2-40B4-BE49-F238E27FC236}">
              <a16:creationId xmlns:a16="http://schemas.microsoft.com/office/drawing/2014/main" id="{00000000-0008-0000-0400-000011000000}"/>
            </a:ext>
          </a:extLst>
        </xdr:cNvPr>
        <xdr:cNvSpPr/>
      </xdr:nvSpPr>
      <xdr:spPr>
        <a:xfrm>
          <a:off x="5226984" y="24321807"/>
          <a:ext cx="1028700" cy="20232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55687"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In Situ Extracted Bitumen plus Diluent to Upgrader [Crude Oil Products]</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a:extLst>
            <a:ext uri="{FF2B5EF4-FFF2-40B4-BE49-F238E27FC236}">
              <a16:creationId xmlns:a16="http://schemas.microsoft.com/office/drawing/2014/main" id="{00000000-0008-0000-08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2</xdr:row>
      <xdr:rowOff>134451</xdr:rowOff>
    </xdr:from>
    <xdr:to>
      <xdr:col>15</xdr:col>
      <xdr:colOff>0</xdr:colOff>
      <xdr:row>5</xdr:row>
      <xdr:rowOff>134451</xdr:rowOff>
    </xdr:to>
    <xdr:sp macro="" textlink="">
      <xdr:nvSpPr>
        <xdr:cNvPr id="13" name="Reference Flow 1">
          <a:extLst>
            <a:ext uri="{FF2B5EF4-FFF2-40B4-BE49-F238E27FC236}">
              <a16:creationId xmlns:a16="http://schemas.microsoft.com/office/drawing/2014/main" id="{00000000-0008-0000-0800-00000D000000}"/>
            </a:ext>
          </a:extLst>
        </xdr:cNvPr>
        <xdr:cNvSpPr/>
      </xdr:nvSpPr>
      <xdr:spPr>
        <a:xfrm>
          <a:off x="7620000" y="515451"/>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Dilbit [Crude Oil Products]</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4</xdr:row>
      <xdr:rowOff>12192</xdr:rowOff>
    </xdr:from>
    <xdr:to>
      <xdr:col>12</xdr:col>
      <xdr:colOff>304800</xdr:colOff>
      <xdr:row>4</xdr:row>
      <xdr:rowOff>39201</xdr:rowOff>
    </xdr:to>
    <xdr:cxnSp macro="">
      <xdr:nvCxnSpPr>
        <xdr:cNvPr id="14" name="Connector Ref 1">
          <a:extLst>
            <a:ext uri="{FF2B5EF4-FFF2-40B4-BE49-F238E27FC236}">
              <a16:creationId xmlns:a16="http://schemas.microsoft.com/office/drawing/2014/main" id="{00000000-0008-0000-0800-00000E000000}"/>
            </a:ext>
          </a:extLst>
        </xdr:cNvPr>
        <xdr:cNvCxnSpPr>
          <a:stCxn id="12" idx="3"/>
          <a:endCxn id="13" idx="1"/>
        </xdr:cNvCxnSpPr>
      </xdr:nvCxnSpPr>
      <xdr:spPr>
        <a:xfrm>
          <a:off x="7251700" y="774192"/>
          <a:ext cx="368300" cy="2700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254000</xdr:colOff>
      <xdr:row>7</xdr:row>
      <xdr:rowOff>120735</xdr:rowOff>
    </xdr:from>
    <xdr:to>
      <xdr:col>17</xdr:col>
      <xdr:colOff>558800</xdr:colOff>
      <xdr:row>10</xdr:row>
      <xdr:rowOff>120735</xdr:rowOff>
    </xdr:to>
    <xdr:sp macro="" textlink="">
      <xdr:nvSpPr>
        <xdr:cNvPr id="16" name="Reference Flow 2">
          <a:extLst>
            <a:ext uri="{FF2B5EF4-FFF2-40B4-BE49-F238E27FC236}">
              <a16:creationId xmlns:a16="http://schemas.microsoft.com/office/drawing/2014/main" id="{00000000-0008-0000-0800-000010000000}"/>
            </a:ext>
          </a:extLst>
        </xdr:cNvPr>
        <xdr:cNvSpPr/>
      </xdr:nvSpPr>
      <xdr:spPr>
        <a:xfrm>
          <a:off x="9398000" y="145423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Synbit[Crude Oil Products]</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15</xdr:col>
      <xdr:colOff>254000</xdr:colOff>
      <xdr:row>9</xdr:row>
      <xdr:rowOff>25485</xdr:rowOff>
    </xdr:to>
    <xdr:cxnSp macro="">
      <xdr:nvCxnSpPr>
        <xdr:cNvPr id="17" name="Connector Ref 2">
          <a:extLst>
            <a:ext uri="{FF2B5EF4-FFF2-40B4-BE49-F238E27FC236}">
              <a16:creationId xmlns:a16="http://schemas.microsoft.com/office/drawing/2014/main" id="{00000000-0008-0000-0800-000011000000}"/>
            </a:ext>
          </a:extLst>
        </xdr:cNvPr>
        <xdr:cNvCxnSpPr>
          <a:stCxn id="15" idx="3"/>
          <a:endCxn id="16" idx="1"/>
        </xdr:cNvCxnSpPr>
      </xdr:nvCxnSpPr>
      <xdr:spPr>
        <a:xfrm>
          <a:off x="7251700" y="1712976"/>
          <a:ext cx="2146300" cy="2700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12</xdr:row>
      <xdr:rowOff>107019</xdr:rowOff>
    </xdr:from>
    <xdr:to>
      <xdr:col>15</xdr:col>
      <xdr:colOff>0</xdr:colOff>
      <xdr:row>15</xdr:row>
      <xdr:rowOff>107019</xdr:rowOff>
    </xdr:to>
    <xdr:sp macro="" textlink="">
      <xdr:nvSpPr>
        <xdr:cNvPr id="19" name="Reference Flow 3">
          <a:extLst>
            <a:ext uri="{FF2B5EF4-FFF2-40B4-BE49-F238E27FC236}">
              <a16:creationId xmlns:a16="http://schemas.microsoft.com/office/drawing/2014/main" id="{00000000-0008-0000-0800-000013000000}"/>
            </a:ext>
          </a:extLst>
        </xdr:cNvPr>
        <xdr:cNvSpPr/>
      </xdr:nvSpPr>
      <xdr:spPr>
        <a:xfrm>
          <a:off x="7620000" y="2393019"/>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13</xdr:row>
      <xdr:rowOff>175260</xdr:rowOff>
    </xdr:from>
    <xdr:to>
      <xdr:col>12</xdr:col>
      <xdr:colOff>304800</xdr:colOff>
      <xdr:row>14</xdr:row>
      <xdr:rowOff>11769</xdr:rowOff>
    </xdr:to>
    <xdr:cxnSp macro="">
      <xdr:nvCxnSpPr>
        <xdr:cNvPr id="20" name="Connector Ref 3">
          <a:extLst>
            <a:ext uri="{FF2B5EF4-FFF2-40B4-BE49-F238E27FC236}">
              <a16:creationId xmlns:a16="http://schemas.microsoft.com/office/drawing/2014/main" id="{00000000-0008-0000-0800-000014000000}"/>
            </a:ext>
          </a:extLst>
        </xdr:cNvPr>
        <xdr:cNvCxnSpPr>
          <a:stCxn id="18" idx="3"/>
          <a:endCxn id="19" idx="1"/>
        </xdr:cNvCxnSpPr>
      </xdr:nvCxnSpPr>
      <xdr:spPr>
        <a:xfrm>
          <a:off x="7251700" y="2651760"/>
          <a:ext cx="368300" cy="2700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118770</xdr:rowOff>
    </xdr:from>
    <xdr:to>
      <xdr:col>2</xdr:col>
      <xdr:colOff>358924</xdr:colOff>
      <xdr:row>5</xdr:row>
      <xdr:rowOff>53908</xdr:rowOff>
    </xdr:to>
    <xdr:sp macro="" textlink="">
      <xdr:nvSpPr>
        <xdr:cNvPr id="22" name="Upstream Emssion Data 1">
          <a:extLst>
            <a:ext uri="{FF2B5EF4-FFF2-40B4-BE49-F238E27FC236}">
              <a16:creationId xmlns:a16="http://schemas.microsoft.com/office/drawing/2014/main" id="{00000000-0008-0000-0800-000016000000}"/>
            </a:ext>
          </a:extLst>
        </xdr:cNvPr>
        <xdr:cNvSpPr/>
      </xdr:nvSpPr>
      <xdr:spPr>
        <a:xfrm>
          <a:off x="0" y="309270"/>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US Mix - NETL [Natural gas (resource)]</a:t>
          </a:r>
        </a:p>
      </xdr:txBody>
    </xdr:sp>
    <xdr:clientData/>
  </xdr:twoCellAnchor>
  <xdr:twoCellAnchor>
    <xdr:from>
      <xdr:col>2</xdr:col>
      <xdr:colOff>178501</xdr:colOff>
      <xdr:row>3</xdr:row>
      <xdr:rowOff>14935</xdr:rowOff>
    </xdr:from>
    <xdr:to>
      <xdr:col>5</xdr:col>
      <xdr:colOff>508000</xdr:colOff>
      <xdr:row>3</xdr:row>
      <xdr:rowOff>86339</xdr:rowOff>
    </xdr:to>
    <xdr:cxnSp macro="">
      <xdr:nvCxnSpPr>
        <xdr:cNvPr id="23" name="Straight Arrow Connector 1">
          <a:extLst>
            <a:ext uri="{FF2B5EF4-FFF2-40B4-BE49-F238E27FC236}">
              <a16:creationId xmlns:a16="http://schemas.microsoft.com/office/drawing/2014/main" id="{00000000-0008-0000-0800-000017000000}"/>
            </a:ext>
          </a:extLst>
        </xdr:cNvPr>
        <xdr:cNvCxnSpPr>
          <a:stCxn id="22" idx="2"/>
          <a:endCxn id="21" idx="1"/>
        </xdr:cNvCxnSpPr>
      </xdr:nvCxnSpPr>
      <xdr:spPr>
        <a:xfrm flipV="1">
          <a:off x="1397701" y="586435"/>
          <a:ext cx="2158299" cy="7140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4</xdr:row>
      <xdr:rowOff>110541</xdr:rowOff>
    </xdr:from>
    <xdr:to>
      <xdr:col>5</xdr:col>
      <xdr:colOff>308124</xdr:colOff>
      <xdr:row>8</xdr:row>
      <xdr:rowOff>45679</xdr:rowOff>
    </xdr:to>
    <xdr:sp macro="" textlink="">
      <xdr:nvSpPr>
        <xdr:cNvPr id="25" name="Upstream Emssion Data 2">
          <a:extLst>
            <a:ext uri="{FF2B5EF4-FFF2-40B4-BE49-F238E27FC236}">
              <a16:creationId xmlns:a16="http://schemas.microsoft.com/office/drawing/2014/main" id="{00000000-0008-0000-0800-000019000000}"/>
            </a:ext>
          </a:extLst>
        </xdr:cNvPr>
        <xdr:cNvSpPr/>
      </xdr:nvSpPr>
      <xdr:spPr>
        <a:xfrm>
          <a:off x="1778000" y="87254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Naphtha [Organic intermediate products]</a:t>
          </a:r>
        </a:p>
      </xdr:txBody>
    </xdr:sp>
    <xdr:clientData/>
  </xdr:twoCellAnchor>
  <xdr:twoCellAnchor>
    <xdr:from>
      <xdr:col>5</xdr:col>
      <xdr:colOff>127701</xdr:colOff>
      <xdr:row>6</xdr:row>
      <xdr:rowOff>6706</xdr:rowOff>
    </xdr:from>
    <xdr:to>
      <xdr:col>5</xdr:col>
      <xdr:colOff>508000</xdr:colOff>
      <xdr:row>6</xdr:row>
      <xdr:rowOff>78110</xdr:rowOff>
    </xdr:to>
    <xdr:cxnSp macro="">
      <xdr:nvCxnSpPr>
        <xdr:cNvPr id="26" name="Straight Arrow Connector 2">
          <a:extLst>
            <a:ext uri="{FF2B5EF4-FFF2-40B4-BE49-F238E27FC236}">
              <a16:creationId xmlns:a16="http://schemas.microsoft.com/office/drawing/2014/main" id="{00000000-0008-0000-0800-00001A000000}"/>
            </a:ext>
          </a:extLst>
        </xdr:cNvPr>
        <xdr:cNvCxnSpPr>
          <a:stCxn id="25" idx="2"/>
          <a:endCxn id="24" idx="1"/>
        </xdr:cNvCxnSpPr>
      </xdr:nvCxnSpPr>
      <xdr:spPr>
        <a:xfrm flipV="1">
          <a:off x="3175701" y="1149706"/>
          <a:ext cx="380299" cy="7140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102311</xdr:rowOff>
    </xdr:from>
    <xdr:to>
      <xdr:col>2</xdr:col>
      <xdr:colOff>358924</xdr:colOff>
      <xdr:row>11</xdr:row>
      <xdr:rowOff>37449</xdr:rowOff>
    </xdr:to>
    <xdr:sp macro="" textlink="">
      <xdr:nvSpPr>
        <xdr:cNvPr id="28" name="Upstream Emssion Data 3">
          <a:extLst>
            <a:ext uri="{FF2B5EF4-FFF2-40B4-BE49-F238E27FC236}">
              <a16:creationId xmlns:a16="http://schemas.microsoft.com/office/drawing/2014/main" id="{00000000-0008-0000-0800-00001C000000}"/>
            </a:ext>
          </a:extLst>
        </xdr:cNvPr>
        <xdr:cNvSpPr/>
      </xdr:nvSpPr>
      <xdr:spPr>
        <a:xfrm>
          <a:off x="0" y="143581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Liquids [Natural Gas Products]</a:t>
          </a:r>
        </a:p>
      </xdr:txBody>
    </xdr:sp>
    <xdr:clientData/>
  </xdr:twoCellAnchor>
  <xdr:twoCellAnchor>
    <xdr:from>
      <xdr:col>2</xdr:col>
      <xdr:colOff>178501</xdr:colOff>
      <xdr:row>8</xdr:row>
      <xdr:rowOff>188976</xdr:rowOff>
    </xdr:from>
    <xdr:to>
      <xdr:col>5</xdr:col>
      <xdr:colOff>508000</xdr:colOff>
      <xdr:row>9</xdr:row>
      <xdr:rowOff>69880</xdr:rowOff>
    </xdr:to>
    <xdr:cxnSp macro="">
      <xdr:nvCxnSpPr>
        <xdr:cNvPr id="29" name="Straight Arrow Connector 3">
          <a:extLst>
            <a:ext uri="{FF2B5EF4-FFF2-40B4-BE49-F238E27FC236}">
              <a16:creationId xmlns:a16="http://schemas.microsoft.com/office/drawing/2014/main" id="{00000000-0008-0000-0800-00001D000000}"/>
            </a:ext>
          </a:extLst>
        </xdr:cNvPr>
        <xdr:cNvCxnSpPr>
          <a:stCxn id="28" idx="2"/>
          <a:endCxn id="27" idx="1"/>
        </xdr:cNvCxnSpPr>
      </xdr:nvCxnSpPr>
      <xdr:spPr>
        <a:xfrm flipV="1">
          <a:off x="1397701" y="1712976"/>
          <a:ext cx="2158299" cy="7140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10</xdr:row>
      <xdr:rowOff>94082</xdr:rowOff>
    </xdr:from>
    <xdr:to>
      <xdr:col>5</xdr:col>
      <xdr:colOff>308124</xdr:colOff>
      <xdr:row>14</xdr:row>
      <xdr:rowOff>29220</xdr:rowOff>
    </xdr:to>
    <xdr:sp macro="" textlink="">
      <xdr:nvSpPr>
        <xdr:cNvPr id="31" name="Upstream Emssion Data 4">
          <a:extLst>
            <a:ext uri="{FF2B5EF4-FFF2-40B4-BE49-F238E27FC236}">
              <a16:creationId xmlns:a16="http://schemas.microsoft.com/office/drawing/2014/main" id="{00000000-0008-0000-0800-00001F000000}"/>
            </a:ext>
          </a:extLst>
        </xdr:cNvPr>
        <xdr:cNvSpPr/>
      </xdr:nvSpPr>
      <xdr:spPr>
        <a:xfrm>
          <a:off x="1778000" y="199908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SCO [Crude Oil Products]</a:t>
          </a:r>
        </a:p>
      </xdr:txBody>
    </xdr:sp>
    <xdr:clientData/>
  </xdr:twoCellAnchor>
  <xdr:twoCellAnchor>
    <xdr:from>
      <xdr:col>5</xdr:col>
      <xdr:colOff>127701</xdr:colOff>
      <xdr:row>11</xdr:row>
      <xdr:rowOff>180747</xdr:rowOff>
    </xdr:from>
    <xdr:to>
      <xdr:col>5</xdr:col>
      <xdr:colOff>508000</xdr:colOff>
      <xdr:row>12</xdr:row>
      <xdr:rowOff>61651</xdr:rowOff>
    </xdr:to>
    <xdr:cxnSp macro="">
      <xdr:nvCxnSpPr>
        <xdr:cNvPr id="32" name="Straight Arrow Connector 4">
          <a:extLst>
            <a:ext uri="{FF2B5EF4-FFF2-40B4-BE49-F238E27FC236}">
              <a16:creationId xmlns:a16="http://schemas.microsoft.com/office/drawing/2014/main" id="{00000000-0008-0000-0800-000020000000}"/>
            </a:ext>
          </a:extLst>
        </xdr:cNvPr>
        <xdr:cNvCxnSpPr>
          <a:stCxn id="31" idx="2"/>
          <a:endCxn id="30" idx="1"/>
        </xdr:cNvCxnSpPr>
      </xdr:nvCxnSpPr>
      <xdr:spPr>
        <a:xfrm flipV="1">
          <a:off x="3175701" y="2276247"/>
          <a:ext cx="380299" cy="7140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36" name="Boundary Group">
          <a:extLst>
            <a:ext uri="{FF2B5EF4-FFF2-40B4-BE49-F238E27FC236}">
              <a16:creationId xmlns:a16="http://schemas.microsoft.com/office/drawing/2014/main" id="{00000000-0008-0000-0800-000024000000}"/>
            </a:ext>
          </a:extLst>
        </xdr:cNvPr>
        <xdr:cNvGrpSpPr/>
      </xdr:nvGrpSpPr>
      <xdr:grpSpPr>
        <a:xfrm>
          <a:off x="3572565" y="304800"/>
          <a:ext cx="3715578"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Oil Sands In Situ Extraction: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Energy use, feedstock, and emissions from production of 1 kg Dilbit, Synbit, or SCO upgrader feed</a:t>
            </a:r>
          </a:p>
        </xdr:txBody>
      </xdr:sp>
      <xdr:sp macro="" textlink="">
        <xdr:nvSpPr>
          <xdr:cNvPr id="12" name="LinkRef 1">
            <a:extLst>
              <a:ext uri="{FF2B5EF4-FFF2-40B4-BE49-F238E27FC236}">
                <a16:creationId xmlns:a16="http://schemas.microsoft.com/office/drawing/2014/main" id="{00000000-0008-0000-0800-00000C000000}"/>
              </a:ext>
            </a:extLst>
          </xdr:cNvPr>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a:extLst>
              <a:ext uri="{FF2B5EF4-FFF2-40B4-BE49-F238E27FC236}">
                <a16:creationId xmlns:a16="http://schemas.microsoft.com/office/drawing/2014/main" id="{00000000-0008-0000-0800-00000F000000}"/>
              </a:ext>
            </a:extLst>
          </xdr:cNvPr>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a:extLst>
              <a:ext uri="{FF2B5EF4-FFF2-40B4-BE49-F238E27FC236}">
                <a16:creationId xmlns:a16="http://schemas.microsoft.com/office/drawing/2014/main" id="{00000000-0008-0000-0800-000012000000}"/>
              </a:ext>
            </a:extLst>
          </xdr:cNvPr>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1">
            <a:extLst>
              <a:ext uri="{FF2B5EF4-FFF2-40B4-BE49-F238E27FC236}">
                <a16:creationId xmlns:a16="http://schemas.microsoft.com/office/drawing/2014/main" id="{00000000-0008-0000-0800-000015000000}"/>
              </a:ext>
            </a:extLst>
          </xdr:cNvPr>
          <xdr:cNvSpPr/>
        </xdr:nvSpPr>
        <xdr:spPr>
          <a:xfrm>
            <a:off x="3556000" y="304800"/>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2">
            <a:extLst>
              <a:ext uri="{FF2B5EF4-FFF2-40B4-BE49-F238E27FC236}">
                <a16:creationId xmlns:a16="http://schemas.microsoft.com/office/drawing/2014/main" id="{00000000-0008-0000-0800-000018000000}"/>
              </a:ext>
            </a:extLst>
          </xdr:cNvPr>
          <xdr:cNvSpPr/>
        </xdr:nvSpPr>
        <xdr:spPr>
          <a:xfrm>
            <a:off x="3556000" y="868070"/>
            <a:ext cx="12700" cy="56327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3">
            <a:extLst>
              <a:ext uri="{FF2B5EF4-FFF2-40B4-BE49-F238E27FC236}">
                <a16:creationId xmlns:a16="http://schemas.microsoft.com/office/drawing/2014/main" id="{00000000-0008-0000-0800-00001B000000}"/>
              </a:ext>
            </a:extLst>
          </xdr:cNvPr>
          <xdr:cNvSpPr/>
        </xdr:nvSpPr>
        <xdr:spPr>
          <a:xfrm>
            <a:off x="3556000" y="1431341"/>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Link 4">
            <a:extLst>
              <a:ext uri="{FF2B5EF4-FFF2-40B4-BE49-F238E27FC236}">
                <a16:creationId xmlns:a16="http://schemas.microsoft.com/office/drawing/2014/main" id="{00000000-0008-0000-0800-00001E000000}"/>
              </a:ext>
            </a:extLst>
          </xdr:cNvPr>
          <xdr:cNvSpPr/>
        </xdr:nvSpPr>
        <xdr:spPr>
          <a:xfrm>
            <a:off x="3556000" y="1994611"/>
            <a:ext cx="12700" cy="56327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Link 5">
            <a:extLst>
              <a:ext uri="{FF2B5EF4-FFF2-40B4-BE49-F238E27FC236}">
                <a16:creationId xmlns:a16="http://schemas.microsoft.com/office/drawing/2014/main" id="{00000000-0008-0000-0800-000021000000}"/>
              </a:ext>
            </a:extLst>
          </xdr:cNvPr>
          <xdr:cNvSpPr/>
        </xdr:nvSpPr>
        <xdr:spPr>
          <a:xfrm>
            <a:off x="3556000" y="2557882"/>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13</xdr:row>
      <xdr:rowOff>85852</xdr:rowOff>
    </xdr:from>
    <xdr:to>
      <xdr:col>2</xdr:col>
      <xdr:colOff>358924</xdr:colOff>
      <xdr:row>17</xdr:row>
      <xdr:rowOff>20990</xdr:rowOff>
    </xdr:to>
    <xdr:sp macro="" textlink="">
      <xdr:nvSpPr>
        <xdr:cNvPr id="34" name="Upstream Emssion Data 5">
          <a:extLst>
            <a:ext uri="{FF2B5EF4-FFF2-40B4-BE49-F238E27FC236}">
              <a16:creationId xmlns:a16="http://schemas.microsoft.com/office/drawing/2014/main" id="{00000000-0008-0000-0800-000022000000}"/>
            </a:ext>
          </a:extLst>
        </xdr:cNvPr>
        <xdr:cNvSpPr/>
      </xdr:nvSpPr>
      <xdr:spPr>
        <a:xfrm>
          <a:off x="0" y="2562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p>
      </xdr:txBody>
    </xdr:sp>
    <xdr:clientData/>
  </xdr:twoCellAnchor>
  <xdr:twoCellAnchor>
    <xdr:from>
      <xdr:col>2</xdr:col>
      <xdr:colOff>178501</xdr:colOff>
      <xdr:row>14</xdr:row>
      <xdr:rowOff>172517</xdr:rowOff>
    </xdr:from>
    <xdr:to>
      <xdr:col>5</xdr:col>
      <xdr:colOff>508000</xdr:colOff>
      <xdr:row>15</xdr:row>
      <xdr:rowOff>53421</xdr:rowOff>
    </xdr:to>
    <xdr:cxnSp macro="">
      <xdr:nvCxnSpPr>
        <xdr:cNvPr id="35" name="Straight Arrow Connector 5">
          <a:extLst>
            <a:ext uri="{FF2B5EF4-FFF2-40B4-BE49-F238E27FC236}">
              <a16:creationId xmlns:a16="http://schemas.microsoft.com/office/drawing/2014/main" id="{00000000-0008-0000-0800-000023000000}"/>
            </a:ext>
          </a:extLst>
        </xdr:cNvPr>
        <xdr:cNvCxnSpPr>
          <a:stCxn id="34" idx="2"/>
          <a:endCxn id="33" idx="1"/>
        </xdr:cNvCxnSpPr>
      </xdr:nvCxnSpPr>
      <xdr:spPr>
        <a:xfrm flipV="1">
          <a:off x="1397701" y="2839517"/>
          <a:ext cx="2158299" cy="7140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C22" sqref="C2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4" t="s">
        <v>0</v>
      </c>
      <c r="B1" s="274"/>
      <c r="C1" s="274"/>
      <c r="D1" s="274"/>
      <c r="E1" s="274"/>
      <c r="F1" s="274"/>
      <c r="G1" s="274"/>
      <c r="H1" s="274"/>
      <c r="I1" s="274"/>
      <c r="J1" s="274"/>
      <c r="K1" s="274"/>
      <c r="L1" s="274"/>
      <c r="M1" s="274"/>
      <c r="N1" s="274"/>
      <c r="O1" s="1"/>
    </row>
    <row r="2" spans="1:27" ht="21" thickBot="1" x14ac:dyDescent="0.35">
      <c r="A2" s="274" t="s">
        <v>1</v>
      </c>
      <c r="B2" s="274"/>
      <c r="C2" s="274"/>
      <c r="D2" s="274"/>
      <c r="E2" s="274"/>
      <c r="F2" s="274"/>
      <c r="G2" s="274"/>
      <c r="H2" s="274"/>
      <c r="I2" s="274"/>
      <c r="J2" s="274"/>
      <c r="K2" s="274"/>
      <c r="L2" s="274"/>
      <c r="M2" s="274"/>
      <c r="N2" s="274"/>
      <c r="O2" s="1"/>
    </row>
    <row r="3" spans="1:27" ht="12.75" customHeight="1" thickBot="1" x14ac:dyDescent="0.25">
      <c r="B3" s="2"/>
      <c r="C3" s="4" t="s">
        <v>2</v>
      </c>
      <c r="D3" s="5" t="str">
        <f>'Data Summary'!D4</f>
        <v>Oil Sands In Situ Extraction</v>
      </c>
      <c r="E3" s="6"/>
      <c r="F3" s="6"/>
      <c r="G3" s="6"/>
      <c r="H3" s="6"/>
      <c r="I3" s="6"/>
      <c r="J3" s="6"/>
      <c r="K3" s="6"/>
      <c r="L3" s="6"/>
      <c r="M3" s="7"/>
      <c r="N3" s="2"/>
      <c r="O3" s="2"/>
    </row>
    <row r="4" spans="1:27" ht="42.75" customHeight="1" thickBot="1" x14ac:dyDescent="0.25">
      <c r="B4" s="2"/>
      <c r="C4" s="4" t="s">
        <v>3</v>
      </c>
      <c r="D4" s="275" t="str">
        <f>'Data Summary'!D6</f>
        <v>Energy use, feedstock, and emissions from production of 1 kg Dilbit, Synbit, or SCO upgrader feed</v>
      </c>
      <c r="E4" s="276"/>
      <c r="F4" s="276"/>
      <c r="G4" s="276"/>
      <c r="H4" s="276"/>
      <c r="I4" s="276"/>
      <c r="J4" s="276"/>
      <c r="K4" s="276"/>
      <c r="L4" s="276"/>
      <c r="M4" s="277"/>
      <c r="N4" s="2"/>
      <c r="O4" s="2"/>
    </row>
    <row r="5" spans="1:27" ht="39" customHeight="1" thickBot="1" x14ac:dyDescent="0.25">
      <c r="B5" s="2"/>
      <c r="C5" s="4" t="s">
        <v>4</v>
      </c>
      <c r="D5" s="278" t="s">
        <v>576</v>
      </c>
      <c r="E5" s="279"/>
      <c r="F5" s="279"/>
      <c r="G5" s="279"/>
      <c r="H5" s="279"/>
      <c r="I5" s="279"/>
      <c r="J5" s="279"/>
      <c r="K5" s="279"/>
      <c r="L5" s="279"/>
      <c r="M5" s="280"/>
      <c r="N5" s="2"/>
      <c r="O5" s="2"/>
    </row>
    <row r="6" spans="1:27" ht="56.25" customHeight="1" thickBot="1" x14ac:dyDescent="0.25">
      <c r="B6" s="2"/>
      <c r="C6" s="8" t="s">
        <v>5</v>
      </c>
      <c r="D6" s="278" t="s">
        <v>6</v>
      </c>
      <c r="E6" s="279"/>
      <c r="F6" s="279"/>
      <c r="G6" s="279"/>
      <c r="H6" s="279"/>
      <c r="I6" s="279"/>
      <c r="J6" s="279"/>
      <c r="K6" s="279"/>
      <c r="L6" s="279"/>
      <c r="M6" s="28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68" t="s">
        <v>10</v>
      </c>
      <c r="C9" s="10" t="s">
        <v>11</v>
      </c>
      <c r="D9" s="270" t="s">
        <v>12</v>
      </c>
      <c r="E9" s="270"/>
      <c r="F9" s="270"/>
      <c r="G9" s="270"/>
      <c r="H9" s="270"/>
      <c r="I9" s="270"/>
      <c r="J9" s="270"/>
      <c r="K9" s="270"/>
      <c r="L9" s="270"/>
      <c r="M9" s="271"/>
      <c r="N9" s="2"/>
      <c r="O9" s="2"/>
      <c r="P9" s="2"/>
      <c r="Q9" s="2"/>
      <c r="R9" s="2"/>
      <c r="S9" s="2"/>
      <c r="T9" s="2"/>
      <c r="U9" s="2"/>
      <c r="V9" s="2"/>
      <c r="W9" s="2"/>
      <c r="X9" s="2"/>
      <c r="Y9" s="2"/>
      <c r="Z9" s="2"/>
      <c r="AA9" s="2"/>
    </row>
    <row r="10" spans="1:27" s="11" customFormat="1" ht="15" customHeight="1" x14ac:dyDescent="0.2">
      <c r="A10" s="2"/>
      <c r="B10" s="269"/>
      <c r="C10" s="12" t="s">
        <v>13</v>
      </c>
      <c r="D10" s="272" t="s">
        <v>14</v>
      </c>
      <c r="E10" s="272"/>
      <c r="F10" s="272"/>
      <c r="G10" s="272"/>
      <c r="H10" s="272"/>
      <c r="I10" s="272"/>
      <c r="J10" s="272"/>
      <c r="K10" s="272"/>
      <c r="L10" s="272"/>
      <c r="M10" s="273"/>
      <c r="N10" s="2"/>
      <c r="O10" s="2"/>
      <c r="P10" s="2"/>
      <c r="Q10" s="2"/>
      <c r="R10" s="2"/>
      <c r="S10" s="2"/>
      <c r="T10" s="2"/>
      <c r="U10" s="2"/>
      <c r="V10" s="2"/>
      <c r="W10" s="2"/>
      <c r="X10" s="2"/>
      <c r="Y10" s="2"/>
      <c r="Z10" s="2"/>
      <c r="AA10" s="2"/>
    </row>
    <row r="11" spans="1:27" s="11" customFormat="1" ht="15" customHeight="1" x14ac:dyDescent="0.2">
      <c r="A11" s="2"/>
      <c r="B11" s="269"/>
      <c r="C11" s="12" t="s">
        <v>15</v>
      </c>
      <c r="D11" s="272" t="s">
        <v>16</v>
      </c>
      <c r="E11" s="272"/>
      <c r="F11" s="272"/>
      <c r="G11" s="272"/>
      <c r="H11" s="272"/>
      <c r="I11" s="272"/>
      <c r="J11" s="272"/>
      <c r="K11" s="272"/>
      <c r="L11" s="272"/>
      <c r="M11" s="273"/>
      <c r="N11" s="2"/>
      <c r="O11" s="2"/>
      <c r="P11" s="2"/>
      <c r="Q11" s="2"/>
      <c r="R11" s="2"/>
      <c r="S11" s="2"/>
      <c r="T11" s="2"/>
      <c r="U11" s="2"/>
      <c r="V11" s="2"/>
      <c r="W11" s="2"/>
      <c r="X11" s="2"/>
      <c r="Y11" s="2"/>
      <c r="Z11" s="2"/>
      <c r="AA11" s="2"/>
    </row>
    <row r="12" spans="1:27" s="11" customFormat="1" ht="15" customHeight="1" x14ac:dyDescent="0.2">
      <c r="A12" s="2"/>
      <c r="B12" s="269"/>
      <c r="C12" s="12" t="s">
        <v>17</v>
      </c>
      <c r="D12" s="272" t="s">
        <v>18</v>
      </c>
      <c r="E12" s="272"/>
      <c r="F12" s="272"/>
      <c r="G12" s="272"/>
      <c r="H12" s="272"/>
      <c r="I12" s="272"/>
      <c r="J12" s="272"/>
      <c r="K12" s="272"/>
      <c r="L12" s="272"/>
      <c r="M12" s="273"/>
      <c r="N12" s="2"/>
      <c r="O12" s="2"/>
      <c r="P12" s="2"/>
      <c r="Q12" s="2"/>
      <c r="R12" s="2"/>
      <c r="S12" s="2"/>
      <c r="T12" s="2"/>
      <c r="U12" s="2"/>
      <c r="V12" s="2"/>
      <c r="W12" s="2"/>
      <c r="X12" s="2"/>
      <c r="Y12" s="2"/>
      <c r="Z12" s="2"/>
      <c r="AA12" s="2"/>
    </row>
    <row r="13" spans="1:27" ht="15" customHeight="1" x14ac:dyDescent="0.2">
      <c r="B13" s="283" t="s">
        <v>19</v>
      </c>
      <c r="C13" s="13" t="s">
        <v>468</v>
      </c>
      <c r="D13" s="285" t="s">
        <v>470</v>
      </c>
      <c r="E13" s="286"/>
      <c r="F13" s="286"/>
      <c r="G13" s="286"/>
      <c r="H13" s="286"/>
      <c r="I13" s="286"/>
      <c r="J13" s="286"/>
      <c r="K13" s="286"/>
      <c r="L13" s="286"/>
      <c r="M13" s="287"/>
      <c r="N13" s="2"/>
      <c r="O13" s="2"/>
    </row>
    <row r="14" spans="1:27" ht="15" customHeight="1" x14ac:dyDescent="0.2">
      <c r="B14" s="283"/>
      <c r="C14" s="13" t="s">
        <v>469</v>
      </c>
      <c r="D14" s="285" t="s">
        <v>471</v>
      </c>
      <c r="E14" s="286"/>
      <c r="F14" s="286"/>
      <c r="G14" s="286"/>
      <c r="H14" s="286"/>
      <c r="I14" s="286"/>
      <c r="J14" s="286"/>
      <c r="K14" s="286"/>
      <c r="L14" s="286"/>
      <c r="M14" s="287"/>
      <c r="N14" s="2"/>
      <c r="O14" s="2"/>
    </row>
    <row r="15" spans="1:27" ht="15" customHeight="1" x14ac:dyDescent="0.2">
      <c r="B15" s="283"/>
      <c r="C15" s="13" t="s">
        <v>20</v>
      </c>
      <c r="D15" s="285" t="s">
        <v>21</v>
      </c>
      <c r="E15" s="285"/>
      <c r="F15" s="285"/>
      <c r="G15" s="285"/>
      <c r="H15" s="285"/>
      <c r="I15" s="285"/>
      <c r="J15" s="285"/>
      <c r="K15" s="285"/>
      <c r="L15" s="285"/>
      <c r="M15" s="288"/>
      <c r="N15" s="2"/>
      <c r="O15" s="2"/>
    </row>
    <row r="16" spans="1:27" ht="15" customHeight="1" x14ac:dyDescent="0.2">
      <c r="B16" s="283"/>
      <c r="C16" s="14" t="s">
        <v>22</v>
      </c>
      <c r="D16" s="285" t="s">
        <v>22</v>
      </c>
      <c r="E16" s="285"/>
      <c r="F16" s="285"/>
      <c r="G16" s="285"/>
      <c r="H16" s="285"/>
      <c r="I16" s="285"/>
      <c r="J16" s="285"/>
      <c r="K16" s="285"/>
      <c r="L16" s="285"/>
      <c r="M16" s="288"/>
      <c r="N16" s="2"/>
      <c r="O16" s="2"/>
    </row>
    <row r="17" spans="2:16" ht="15" customHeight="1" thickBot="1" x14ac:dyDescent="0.25">
      <c r="B17" s="284"/>
      <c r="C17" s="15"/>
      <c r="D17" s="289"/>
      <c r="E17" s="289"/>
      <c r="F17" s="289"/>
      <c r="G17" s="289"/>
      <c r="H17" s="289"/>
      <c r="I17" s="289"/>
      <c r="J17" s="289"/>
      <c r="K17" s="289"/>
      <c r="L17" s="289"/>
      <c r="M17" s="290"/>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41723</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81" t="str">
        <f>"This document should be cited as: NETL (2014). NETL Life Cycle Inventory Data – Unit Process: "&amp;D3&amp;". U.S. Department of Energy, National Energy Technology Laboratory. Last Updated: March 2014 (version 01). www.netl.doe.gov/LCA (http://www.netl.doe.gov/LCA)"</f>
        <v>This document should be cited as: NETL (2014). NETL Life Cycle Inventory Data – Unit Process: Oil Sands In Situ Extraction. U.S. Department of Energy, National Energy Technology Laboratory. Last Updated: March 2014 (version 01). www.netl.doe.gov/LCA (http://www.netl.doe.gov/LCA)</v>
      </c>
      <c r="D26" s="281"/>
      <c r="E26" s="281"/>
      <c r="F26" s="281"/>
      <c r="G26" s="281"/>
      <c r="H26" s="281"/>
      <c r="I26" s="281"/>
      <c r="J26" s="281"/>
      <c r="K26" s="281"/>
      <c r="L26" s="281"/>
      <c r="M26" s="281"/>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282" t="s">
        <v>504</v>
      </c>
      <c r="D31" s="282"/>
      <c r="E31" s="282"/>
      <c r="F31" s="282"/>
      <c r="G31" s="282"/>
      <c r="H31" s="282"/>
      <c r="I31" s="282"/>
      <c r="J31" s="282"/>
      <c r="K31" s="282"/>
      <c r="L31" s="282"/>
      <c r="M31" s="282"/>
      <c r="N31" s="17"/>
      <c r="O31" s="17"/>
      <c r="P31" s="17"/>
    </row>
    <row r="32" spans="2:16" x14ac:dyDescent="0.2">
      <c r="B32" s="17"/>
      <c r="C32" s="17" t="s">
        <v>505</v>
      </c>
      <c r="D32" s="17"/>
      <c r="E32" s="17"/>
      <c r="F32" s="17"/>
      <c r="G32" s="17"/>
      <c r="H32" s="17"/>
      <c r="I32" s="17"/>
      <c r="J32" s="17"/>
      <c r="K32" s="17"/>
      <c r="L32" s="17"/>
      <c r="M32" s="17"/>
      <c r="N32" s="17"/>
      <c r="O32" s="17"/>
    </row>
    <row r="33" spans="2:15" x14ac:dyDescent="0.2">
      <c r="B33" s="9" t="s">
        <v>35</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36</v>
      </c>
      <c r="C49" s="17"/>
      <c r="D49" s="17"/>
      <c r="E49" s="17"/>
      <c r="F49" s="17"/>
      <c r="G49" s="17"/>
      <c r="H49" s="17"/>
      <c r="I49" s="17"/>
      <c r="J49" s="17"/>
      <c r="K49" s="17"/>
      <c r="L49" s="17"/>
      <c r="M49" s="17"/>
      <c r="N49" s="17"/>
      <c r="O49" s="17"/>
    </row>
    <row r="50" spans="2:15" x14ac:dyDescent="0.2">
      <c r="B50" s="17"/>
      <c r="C50" s="20" t="s">
        <v>37</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414"/>
  <sheetViews>
    <sheetView showGridLines="0" tabSelected="1" topLeftCell="A16" zoomScaleNormal="100" zoomScalePageLayoutView="40" workbookViewId="0">
      <selection activeCell="D66" sqref="D66"/>
    </sheetView>
  </sheetViews>
  <sheetFormatPr defaultColWidth="9.140625" defaultRowHeight="12.75" x14ac:dyDescent="0.2"/>
  <cols>
    <col min="1" max="1" width="1.85546875" style="2" customWidth="1"/>
    <col min="2" max="2" width="3.5703125" style="74"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4" t="s">
        <v>0</v>
      </c>
      <c r="C1" s="274"/>
      <c r="D1" s="274"/>
      <c r="E1" s="274"/>
      <c r="F1" s="274"/>
      <c r="G1" s="274"/>
      <c r="H1" s="274"/>
      <c r="I1" s="274"/>
      <c r="J1" s="274"/>
      <c r="K1" s="274"/>
      <c r="L1" s="274"/>
      <c r="M1" s="274"/>
      <c r="N1" s="274"/>
      <c r="O1" s="274"/>
      <c r="P1" s="274"/>
      <c r="Q1" s="274"/>
    </row>
    <row r="2" spans="1:25" ht="20.25" x14ac:dyDescent="0.3">
      <c r="B2" s="274" t="s">
        <v>38</v>
      </c>
      <c r="C2" s="274"/>
      <c r="D2" s="274"/>
      <c r="E2" s="274"/>
      <c r="F2" s="274"/>
      <c r="G2" s="274"/>
      <c r="H2" s="274"/>
      <c r="I2" s="274"/>
      <c r="J2" s="274"/>
      <c r="K2" s="274"/>
      <c r="L2" s="274"/>
      <c r="M2" s="274"/>
      <c r="N2" s="274"/>
      <c r="O2" s="274"/>
      <c r="P2" s="274"/>
      <c r="Q2" s="274"/>
    </row>
    <row r="3" spans="1:25" ht="5.25" customHeight="1" x14ac:dyDescent="0.2">
      <c r="B3" s="9"/>
      <c r="C3" s="2"/>
      <c r="D3" s="2"/>
      <c r="E3" s="2"/>
      <c r="F3" s="2"/>
      <c r="G3" s="2"/>
      <c r="H3" s="2"/>
      <c r="J3" s="2"/>
      <c r="K3" s="2"/>
      <c r="L3" s="2"/>
      <c r="M3" s="2"/>
      <c r="N3" s="2"/>
      <c r="O3" s="2"/>
      <c r="P3" s="2"/>
    </row>
    <row r="4" spans="1:25" ht="13.5" thickBot="1" x14ac:dyDescent="0.25">
      <c r="B4" s="294" t="s">
        <v>39</v>
      </c>
      <c r="C4" s="294"/>
      <c r="D4" s="254" t="s">
        <v>476</v>
      </c>
      <c r="E4" s="21"/>
      <c r="F4" s="2"/>
      <c r="G4" s="2"/>
      <c r="H4" s="2"/>
      <c r="J4" s="2"/>
      <c r="K4" s="2"/>
      <c r="L4" s="2"/>
      <c r="M4" s="2"/>
      <c r="N4" s="2"/>
      <c r="O4" s="2"/>
      <c r="P4" s="2"/>
    </row>
    <row r="5" spans="1:25" ht="13.5" thickBot="1" x14ac:dyDescent="0.25">
      <c r="B5" s="294" t="s">
        <v>40</v>
      </c>
      <c r="C5" s="294"/>
      <c r="D5" s="22">
        <v>1</v>
      </c>
      <c r="E5" s="255" t="s">
        <v>41</v>
      </c>
      <c r="F5" s="23" t="s">
        <v>42</v>
      </c>
      <c r="G5" s="296" t="s">
        <v>475</v>
      </c>
      <c r="H5" s="296"/>
      <c r="I5" s="296"/>
      <c r="J5" s="296"/>
      <c r="K5" s="2"/>
      <c r="L5" s="2"/>
      <c r="M5" s="24" t="s">
        <v>17</v>
      </c>
      <c r="N5" s="25" t="str">
        <f>DQI!I9</f>
        <v>2,1,3,1,1</v>
      </c>
      <c r="O5" s="26"/>
      <c r="P5" s="17" t="s">
        <v>43</v>
      </c>
    </row>
    <row r="6" spans="1:25" ht="27.75" customHeight="1" x14ac:dyDescent="0.2">
      <c r="B6" s="297" t="s">
        <v>44</v>
      </c>
      <c r="C6" s="298"/>
      <c r="D6" s="299" t="s">
        <v>474</v>
      </c>
      <c r="E6" s="300"/>
      <c r="F6" s="300"/>
      <c r="G6" s="300"/>
      <c r="H6" s="300"/>
      <c r="I6" s="300"/>
      <c r="J6" s="300"/>
      <c r="K6" s="300"/>
      <c r="L6" s="300"/>
      <c r="M6" s="300"/>
      <c r="N6" s="300"/>
      <c r="O6" s="301"/>
      <c r="P6" s="27"/>
    </row>
    <row r="7" spans="1:25" ht="13.5" thickBot="1" x14ac:dyDescent="0.25">
      <c r="B7" s="9"/>
      <c r="C7" s="2"/>
      <c r="D7" s="2"/>
      <c r="E7" s="2"/>
      <c r="F7" s="2"/>
      <c r="G7" s="2"/>
      <c r="H7" s="2"/>
      <c r="J7" s="2"/>
      <c r="K7" s="2"/>
      <c r="L7" s="2"/>
      <c r="M7" s="2"/>
      <c r="N7" s="2"/>
      <c r="O7" s="2"/>
      <c r="P7" s="2"/>
    </row>
    <row r="8" spans="1:25" s="29" customFormat="1" ht="13.5" thickBot="1" x14ac:dyDescent="0.25">
      <c r="A8" s="28"/>
      <c r="B8" s="302" t="s">
        <v>45</v>
      </c>
      <c r="C8" s="303"/>
      <c r="D8" s="303"/>
      <c r="E8" s="303"/>
      <c r="F8" s="303"/>
      <c r="G8" s="303"/>
      <c r="H8" s="303"/>
      <c r="I8" s="303"/>
      <c r="J8" s="303"/>
      <c r="K8" s="303"/>
      <c r="L8" s="303"/>
      <c r="M8" s="303"/>
      <c r="N8" s="303"/>
      <c r="O8" s="303"/>
      <c r="P8" s="304"/>
      <c r="Q8" s="28"/>
      <c r="R8" s="28"/>
      <c r="S8" s="28"/>
      <c r="T8" s="28"/>
      <c r="U8" s="28"/>
      <c r="V8" s="28"/>
      <c r="W8" s="28"/>
      <c r="X8" s="28"/>
      <c r="Y8" s="28"/>
    </row>
    <row r="9" spans="1:25" x14ac:dyDescent="0.2">
      <c r="B9" s="9"/>
      <c r="C9" s="2"/>
      <c r="D9" s="2"/>
      <c r="E9" s="2"/>
      <c r="F9" s="2"/>
      <c r="G9" s="2"/>
      <c r="H9" s="2"/>
      <c r="J9" s="2"/>
      <c r="K9" s="2"/>
      <c r="L9" s="2"/>
      <c r="M9" s="2"/>
      <c r="N9" s="2"/>
      <c r="O9" s="2"/>
      <c r="P9" s="2"/>
    </row>
    <row r="10" spans="1:25" x14ac:dyDescent="0.2">
      <c r="B10" s="294" t="s">
        <v>46</v>
      </c>
      <c r="C10" s="294"/>
      <c r="D10" s="305" t="s">
        <v>282</v>
      </c>
      <c r="E10" s="306"/>
      <c r="F10" s="2"/>
      <c r="G10" s="30" t="s">
        <v>47</v>
      </c>
      <c r="H10" s="31"/>
      <c r="I10" s="31"/>
      <c r="J10" s="31"/>
      <c r="K10" s="31"/>
      <c r="L10" s="31"/>
      <c r="M10" s="31"/>
      <c r="N10" s="31"/>
      <c r="O10" s="32"/>
      <c r="P10" s="2"/>
    </row>
    <row r="11" spans="1:25" x14ac:dyDescent="0.2">
      <c r="B11" s="307" t="s">
        <v>48</v>
      </c>
      <c r="C11" s="308"/>
      <c r="D11" s="291" t="s">
        <v>472</v>
      </c>
      <c r="E11" s="306"/>
      <c r="F11" s="2"/>
      <c r="G11" s="33" t="str">
        <f>CONCATENATE("Reference Flow: ",D5," ",E5," of ",G5)</f>
        <v>Reference Flow: 1 kg of Recovered and Extracted Dilbit, Synbit, or Upgrader Feed</v>
      </c>
      <c r="H11" s="34"/>
      <c r="I11" s="34"/>
      <c r="J11" s="34"/>
      <c r="K11" s="34"/>
      <c r="L11" s="34"/>
      <c r="M11" s="34"/>
      <c r="N11" s="34"/>
      <c r="O11" s="35"/>
      <c r="P11" s="2"/>
    </row>
    <row r="12" spans="1:25" x14ac:dyDescent="0.2">
      <c r="B12" s="294" t="s">
        <v>49</v>
      </c>
      <c r="C12" s="294"/>
      <c r="D12" s="295">
        <v>2010</v>
      </c>
      <c r="E12" s="295"/>
      <c r="F12" s="2"/>
      <c r="G12" s="33"/>
      <c r="H12" s="34"/>
      <c r="I12" s="34"/>
      <c r="J12" s="34"/>
      <c r="K12" s="34"/>
      <c r="L12" s="34"/>
      <c r="M12" s="34"/>
      <c r="N12" s="34"/>
      <c r="O12" s="35"/>
      <c r="P12" s="2"/>
    </row>
    <row r="13" spans="1:25" ht="12.75" customHeight="1" x14ac:dyDescent="0.2">
      <c r="B13" s="294" t="s">
        <v>50</v>
      </c>
      <c r="C13" s="294"/>
      <c r="D13" s="295" t="s">
        <v>107</v>
      </c>
      <c r="E13" s="295"/>
      <c r="F13" s="2"/>
      <c r="G13" s="309" t="s">
        <v>565</v>
      </c>
      <c r="H13" s="310"/>
      <c r="I13" s="310"/>
      <c r="J13" s="310"/>
      <c r="K13" s="310"/>
      <c r="L13" s="310"/>
      <c r="M13" s="310"/>
      <c r="N13" s="310"/>
      <c r="O13" s="311"/>
      <c r="P13" s="2"/>
    </row>
    <row r="14" spans="1:25" x14ac:dyDescent="0.2">
      <c r="B14" s="294" t="s">
        <v>51</v>
      </c>
      <c r="C14" s="294"/>
      <c r="D14" s="295" t="s">
        <v>95</v>
      </c>
      <c r="E14" s="295"/>
      <c r="F14" s="2"/>
      <c r="G14" s="309"/>
      <c r="H14" s="310"/>
      <c r="I14" s="310"/>
      <c r="J14" s="310"/>
      <c r="K14" s="310"/>
      <c r="L14" s="310"/>
      <c r="M14" s="310"/>
      <c r="N14" s="310"/>
      <c r="O14" s="311"/>
      <c r="P14" s="2"/>
    </row>
    <row r="15" spans="1:25" x14ac:dyDescent="0.2">
      <c r="B15" s="294" t="s">
        <v>52</v>
      </c>
      <c r="C15" s="294"/>
      <c r="D15" s="295" t="s">
        <v>473</v>
      </c>
      <c r="E15" s="295"/>
      <c r="F15" s="2"/>
      <c r="G15" s="309"/>
      <c r="H15" s="310"/>
      <c r="I15" s="310"/>
      <c r="J15" s="310"/>
      <c r="K15" s="310"/>
      <c r="L15" s="310"/>
      <c r="M15" s="310"/>
      <c r="N15" s="310"/>
      <c r="O15" s="311"/>
      <c r="P15" s="2"/>
    </row>
    <row r="16" spans="1:25" x14ac:dyDescent="0.2">
      <c r="B16" s="294" t="s">
        <v>53</v>
      </c>
      <c r="C16" s="294"/>
      <c r="D16" s="295" t="s">
        <v>96</v>
      </c>
      <c r="E16" s="295"/>
      <c r="F16" s="2"/>
      <c r="G16" s="309"/>
      <c r="H16" s="310"/>
      <c r="I16" s="310"/>
      <c r="J16" s="310"/>
      <c r="K16" s="310"/>
      <c r="L16" s="310"/>
      <c r="M16" s="310"/>
      <c r="N16" s="310"/>
      <c r="O16" s="311"/>
      <c r="P16" s="2"/>
    </row>
    <row r="17" spans="1:25" ht="23.45" customHeight="1" x14ac:dyDescent="0.2">
      <c r="B17" s="313" t="s">
        <v>54</v>
      </c>
      <c r="C17" s="314"/>
      <c r="D17" s="315"/>
      <c r="E17" s="315"/>
      <c r="F17" s="2"/>
      <c r="G17" s="36" t="s">
        <v>484</v>
      </c>
      <c r="H17" s="37"/>
      <c r="I17" s="37"/>
      <c r="J17" s="37"/>
      <c r="K17" s="37"/>
      <c r="L17" s="37"/>
      <c r="M17" s="37"/>
      <c r="N17" s="37"/>
      <c r="O17" s="38"/>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9" customFormat="1" ht="13.5" thickBot="1" x14ac:dyDescent="0.25">
      <c r="A20" s="28"/>
      <c r="B20" s="302" t="s">
        <v>55</v>
      </c>
      <c r="C20" s="303"/>
      <c r="D20" s="303"/>
      <c r="E20" s="303"/>
      <c r="F20" s="303"/>
      <c r="G20" s="303"/>
      <c r="H20" s="303"/>
      <c r="I20" s="303"/>
      <c r="J20" s="303"/>
      <c r="K20" s="303"/>
      <c r="L20" s="303"/>
      <c r="M20" s="303"/>
      <c r="N20" s="303"/>
      <c r="O20" s="303"/>
      <c r="P20" s="304"/>
      <c r="Q20" s="28"/>
      <c r="R20" s="28"/>
      <c r="S20" s="28"/>
      <c r="T20" s="28"/>
      <c r="U20" s="28"/>
      <c r="V20" s="28"/>
      <c r="W20" s="28"/>
      <c r="X20" s="28"/>
      <c r="Y20" s="28"/>
    </row>
    <row r="21" spans="1:25" x14ac:dyDescent="0.2">
      <c r="B21" s="9"/>
      <c r="C21" s="2"/>
      <c r="D21" s="2"/>
      <c r="E21" s="2"/>
      <c r="F21" s="2"/>
      <c r="G21" s="39" t="s">
        <v>56</v>
      </c>
      <c r="H21" s="2"/>
      <c r="J21" s="2"/>
      <c r="K21" s="2"/>
      <c r="L21" s="2"/>
      <c r="M21" s="2"/>
      <c r="N21" s="2"/>
      <c r="O21" s="2"/>
      <c r="P21" s="2"/>
    </row>
    <row r="22" spans="1:25" x14ac:dyDescent="0.2">
      <c r="B22" s="9"/>
      <c r="C22" s="40" t="s">
        <v>57</v>
      </c>
      <c r="D22" s="40" t="s">
        <v>58</v>
      </c>
      <c r="E22" s="40" t="s">
        <v>59</v>
      </c>
      <c r="F22" s="40" t="s">
        <v>60</v>
      </c>
      <c r="G22" s="40" t="s">
        <v>61</v>
      </c>
      <c r="H22" s="40" t="s">
        <v>62</v>
      </c>
      <c r="I22" s="40" t="s">
        <v>63</v>
      </c>
      <c r="J22" s="316" t="s">
        <v>64</v>
      </c>
      <c r="K22" s="317"/>
      <c r="L22" s="317"/>
      <c r="M22" s="317"/>
      <c r="N22" s="317"/>
      <c r="O22" s="317"/>
      <c r="P22" s="318"/>
    </row>
    <row r="23" spans="1:25" x14ac:dyDescent="0.2">
      <c r="B23" s="17">
        <f t="shared" ref="B23:B86" si="0">LEN(C23)</f>
        <v>5</v>
      </c>
      <c r="C23" s="240" t="s">
        <v>340</v>
      </c>
      <c r="D23" s="42"/>
      <c r="E23" s="43">
        <v>0</v>
      </c>
      <c r="F23" s="44"/>
      <c r="G23" s="45"/>
      <c r="H23" s="46"/>
      <c r="I23" s="46"/>
      <c r="J23" s="291" t="s">
        <v>341</v>
      </c>
      <c r="K23" s="292"/>
      <c r="L23" s="292"/>
      <c r="M23" s="292"/>
      <c r="N23" s="292"/>
      <c r="O23" s="292"/>
      <c r="P23" s="293"/>
    </row>
    <row r="24" spans="1:25" x14ac:dyDescent="0.2">
      <c r="B24" s="17">
        <f t="shared" si="0"/>
        <v>7</v>
      </c>
      <c r="C24" s="240" t="s">
        <v>411</v>
      </c>
      <c r="D24" s="42"/>
      <c r="E24" s="43">
        <v>0</v>
      </c>
      <c r="F24" s="44"/>
      <c r="G24" s="45"/>
      <c r="H24" s="46"/>
      <c r="I24" s="46"/>
      <c r="J24" s="291" t="s">
        <v>412</v>
      </c>
      <c r="K24" s="292"/>
      <c r="L24" s="292"/>
      <c r="M24" s="292"/>
      <c r="N24" s="292"/>
      <c r="O24" s="292"/>
      <c r="P24" s="293"/>
    </row>
    <row r="25" spans="1:25" x14ac:dyDescent="0.2">
      <c r="B25" s="17">
        <f t="shared" si="0"/>
        <v>13</v>
      </c>
      <c r="C25" s="240" t="s">
        <v>346</v>
      </c>
      <c r="D25" s="42"/>
      <c r="E25" s="43">
        <v>0</v>
      </c>
      <c r="F25" s="44"/>
      <c r="G25" s="45"/>
      <c r="H25" s="46"/>
      <c r="I25" s="46"/>
      <c r="J25" s="291" t="s">
        <v>369</v>
      </c>
      <c r="K25" s="292"/>
      <c r="L25" s="292"/>
      <c r="M25" s="292"/>
      <c r="N25" s="292"/>
      <c r="O25" s="292"/>
      <c r="P25" s="293"/>
    </row>
    <row r="26" spans="1:25" x14ac:dyDescent="0.2">
      <c r="B26" s="17">
        <f t="shared" si="0"/>
        <v>7</v>
      </c>
      <c r="C26" s="240" t="s">
        <v>244</v>
      </c>
      <c r="D26" s="42"/>
      <c r="E26" s="43">
        <v>0</v>
      </c>
      <c r="F26" s="44"/>
      <c r="G26" s="45"/>
      <c r="H26" s="46"/>
      <c r="I26" s="46"/>
      <c r="J26" s="291" t="s">
        <v>370</v>
      </c>
      <c r="K26" s="292"/>
      <c r="L26" s="292"/>
      <c r="M26" s="292"/>
      <c r="N26" s="292"/>
      <c r="O26" s="292"/>
      <c r="P26" s="293"/>
    </row>
    <row r="27" spans="1:25" x14ac:dyDescent="0.2">
      <c r="B27" s="17">
        <f t="shared" si="0"/>
        <v>12</v>
      </c>
      <c r="C27" s="240" t="s">
        <v>391</v>
      </c>
      <c r="D27" s="42"/>
      <c r="E27" s="239">
        <f>'SAGD Calculations'!B52</f>
        <v>1.9723865877712034E-5</v>
      </c>
      <c r="F27" s="239">
        <f>'SAGD Calculations'!C52</f>
        <v>1.1834319526627219E-5</v>
      </c>
      <c r="G27" s="239">
        <f>'SAGD Calculations'!D52</f>
        <v>3.9447731755424067E-5</v>
      </c>
      <c r="H27" s="46" t="s">
        <v>41</v>
      </c>
      <c r="I27" s="46">
        <v>1</v>
      </c>
      <c r="J27" s="291" t="s">
        <v>407</v>
      </c>
      <c r="K27" s="292"/>
      <c r="L27" s="292"/>
      <c r="M27" s="292"/>
      <c r="N27" s="292"/>
      <c r="O27" s="292"/>
      <c r="P27" s="293"/>
    </row>
    <row r="28" spans="1:25" x14ac:dyDescent="0.2">
      <c r="B28" s="17">
        <f t="shared" si="0"/>
        <v>11</v>
      </c>
      <c r="C28" s="240" t="s">
        <v>392</v>
      </c>
      <c r="D28" s="42"/>
      <c r="E28" s="239">
        <f>'CSS Calculations'!B50</f>
        <v>5.522682445759369E-5</v>
      </c>
      <c r="F28" s="239">
        <f>'CSS Calculations'!C50</f>
        <v>0</v>
      </c>
      <c r="G28" s="239">
        <f>'CSS Calculations'!D50</f>
        <v>5.522682445759369E-5</v>
      </c>
      <c r="H28" s="46" t="s">
        <v>41</v>
      </c>
      <c r="I28" s="46">
        <v>2</v>
      </c>
      <c r="J28" s="291" t="s">
        <v>408</v>
      </c>
      <c r="K28" s="292"/>
      <c r="L28" s="292"/>
      <c r="M28" s="292"/>
      <c r="N28" s="292"/>
      <c r="O28" s="292"/>
      <c r="P28" s="293"/>
    </row>
    <row r="29" spans="1:25" x14ac:dyDescent="0.2">
      <c r="B29" s="17">
        <f t="shared" si="0"/>
        <v>13</v>
      </c>
      <c r="C29" s="240" t="s">
        <v>397</v>
      </c>
      <c r="D29" s="42"/>
      <c r="E29" s="239">
        <f>'SAGD Calculations'!B53</f>
        <v>1.9723865877712034E-4</v>
      </c>
      <c r="F29" s="239">
        <f>'SAGD Calculations'!C53</f>
        <v>9.8619329388560168E-5</v>
      </c>
      <c r="G29" s="239">
        <f>'SAGD Calculations'!D53</f>
        <v>5.9171597633136095E-4</v>
      </c>
      <c r="H29" s="46" t="s">
        <v>41</v>
      </c>
      <c r="I29" s="46">
        <v>1</v>
      </c>
      <c r="J29" s="291" t="s">
        <v>409</v>
      </c>
      <c r="K29" s="292"/>
      <c r="L29" s="292"/>
      <c r="M29" s="292"/>
      <c r="N29" s="292"/>
      <c r="O29" s="292"/>
      <c r="P29" s="293"/>
    </row>
    <row r="30" spans="1:25" x14ac:dyDescent="0.2">
      <c r="B30" s="17">
        <f t="shared" si="0"/>
        <v>12</v>
      </c>
      <c r="C30" s="240" t="s">
        <v>398</v>
      </c>
      <c r="D30" s="42"/>
      <c r="E30" s="239">
        <f>'CSS Calculations'!B51</f>
        <v>1.9723865877712034E-4</v>
      </c>
      <c r="F30" s="239">
        <f>'CSS Calculations'!C51</f>
        <v>9.8619329388560168E-5</v>
      </c>
      <c r="G30" s="239">
        <f>'CSS Calculations'!D51</f>
        <v>5.9171597633136095E-4</v>
      </c>
      <c r="H30" s="46" t="s">
        <v>41</v>
      </c>
      <c r="I30" s="46">
        <v>2</v>
      </c>
      <c r="J30" s="291" t="s">
        <v>410</v>
      </c>
      <c r="K30" s="292"/>
      <c r="L30" s="292"/>
      <c r="M30" s="292"/>
      <c r="N30" s="292"/>
      <c r="O30" s="292"/>
      <c r="P30" s="293"/>
    </row>
    <row r="31" spans="1:25" x14ac:dyDescent="0.2">
      <c r="B31" s="17">
        <f t="shared" si="0"/>
        <v>14</v>
      </c>
      <c r="C31" s="240" t="s">
        <v>393</v>
      </c>
      <c r="D31" s="41" t="s">
        <v>395</v>
      </c>
      <c r="E31" s="239">
        <f>E27/$E$50</f>
        <v>1.5759666969975637E-5</v>
      </c>
      <c r="F31" s="44"/>
      <c r="G31" s="45"/>
      <c r="H31" s="46" t="s">
        <v>41</v>
      </c>
      <c r="I31" s="46"/>
      <c r="J31" s="291" t="s">
        <v>403</v>
      </c>
      <c r="K31" s="292"/>
      <c r="L31" s="292"/>
      <c r="M31" s="292"/>
      <c r="N31" s="292"/>
      <c r="O31" s="292"/>
      <c r="P31" s="293"/>
    </row>
    <row r="32" spans="1:25" x14ac:dyDescent="0.2">
      <c r="B32" s="17">
        <f t="shared" si="0"/>
        <v>13</v>
      </c>
      <c r="C32" s="240" t="s">
        <v>394</v>
      </c>
      <c r="D32" s="41" t="s">
        <v>396</v>
      </c>
      <c r="E32" s="239">
        <f>E28/$E$50</f>
        <v>4.4127067515931776E-5</v>
      </c>
      <c r="F32" s="44"/>
      <c r="G32" s="45"/>
      <c r="H32" s="46" t="s">
        <v>41</v>
      </c>
      <c r="I32" s="46"/>
      <c r="J32" s="291" t="s">
        <v>404</v>
      </c>
      <c r="K32" s="292"/>
      <c r="L32" s="292"/>
      <c r="M32" s="292"/>
      <c r="N32" s="292"/>
      <c r="O32" s="292"/>
      <c r="P32" s="293"/>
    </row>
    <row r="33" spans="2:16" x14ac:dyDescent="0.2">
      <c r="B33" s="17">
        <f t="shared" si="0"/>
        <v>15</v>
      </c>
      <c r="C33" s="240" t="s">
        <v>399</v>
      </c>
      <c r="D33" s="41" t="s">
        <v>401</v>
      </c>
      <c r="E33" s="239">
        <f>E29/$E$50</f>
        <v>1.5759666969975637E-4</v>
      </c>
      <c r="F33" s="44"/>
      <c r="G33" s="45"/>
      <c r="H33" s="46" t="s">
        <v>41</v>
      </c>
      <c r="I33" s="46"/>
      <c r="J33" s="291" t="s">
        <v>405</v>
      </c>
      <c r="K33" s="292"/>
      <c r="L33" s="292"/>
      <c r="M33" s="292"/>
      <c r="N33" s="292"/>
      <c r="O33" s="292"/>
      <c r="P33" s="293"/>
    </row>
    <row r="34" spans="2:16" x14ac:dyDescent="0.2">
      <c r="B34" s="17">
        <f t="shared" si="0"/>
        <v>14</v>
      </c>
      <c r="C34" s="240" t="s">
        <v>400</v>
      </c>
      <c r="D34" s="41" t="s">
        <v>402</v>
      </c>
      <c r="E34" s="239">
        <f>E30/$E$50</f>
        <v>1.5759666969975637E-4</v>
      </c>
      <c r="F34" s="44"/>
      <c r="G34" s="45"/>
      <c r="H34" s="46" t="s">
        <v>41</v>
      </c>
      <c r="I34" s="46"/>
      <c r="J34" s="291" t="s">
        <v>406</v>
      </c>
      <c r="K34" s="292"/>
      <c r="L34" s="292"/>
      <c r="M34" s="292"/>
      <c r="N34" s="292"/>
      <c r="O34" s="292"/>
      <c r="P34" s="293"/>
    </row>
    <row r="35" spans="2:16" x14ac:dyDescent="0.2">
      <c r="B35" s="17">
        <f t="shared" si="0"/>
        <v>13</v>
      </c>
      <c r="C35" s="240" t="s">
        <v>497</v>
      </c>
      <c r="D35" s="41" t="s">
        <v>499</v>
      </c>
      <c r="E35" s="239">
        <f>IF(E24=0,E33,E34)</f>
        <v>1.5759666969975637E-4</v>
      </c>
      <c r="F35" s="44"/>
      <c r="G35" s="45"/>
      <c r="H35" s="46" t="s">
        <v>41</v>
      </c>
      <c r="I35" s="46"/>
      <c r="J35" s="291" t="s">
        <v>501</v>
      </c>
      <c r="K35" s="292"/>
      <c r="L35" s="292"/>
      <c r="M35" s="292"/>
      <c r="N35" s="292"/>
      <c r="O35" s="292"/>
      <c r="P35" s="293"/>
    </row>
    <row r="36" spans="2:16" x14ac:dyDescent="0.2">
      <c r="B36" s="17">
        <f t="shared" si="0"/>
        <v>12</v>
      </c>
      <c r="C36" s="240" t="s">
        <v>498</v>
      </c>
      <c r="D36" s="41" t="s">
        <v>500</v>
      </c>
      <c r="E36" s="239">
        <f>IF(E24=0,E31,E32)</f>
        <v>1.5759666969975637E-5</v>
      </c>
      <c r="F36" s="44"/>
      <c r="G36" s="45"/>
      <c r="H36" s="46" t="s">
        <v>41</v>
      </c>
      <c r="I36" s="46"/>
      <c r="J36" s="291" t="s">
        <v>502</v>
      </c>
      <c r="K36" s="292"/>
      <c r="L36" s="292"/>
      <c r="M36" s="292"/>
      <c r="N36" s="292"/>
      <c r="O36" s="292"/>
      <c r="P36" s="293"/>
    </row>
    <row r="37" spans="2:16" x14ac:dyDescent="0.2">
      <c r="B37" s="17">
        <f t="shared" si="0"/>
        <v>13</v>
      </c>
      <c r="C37" s="240" t="s">
        <v>413</v>
      </c>
      <c r="D37" s="42"/>
      <c r="E37" s="239">
        <f>'SAGD Calculations'!B50</f>
        <v>7.3964497041420119E-5</v>
      </c>
      <c r="F37" s="239">
        <f>'SAGD Calculations'!C50</f>
        <v>4.4378698224852069E-5</v>
      </c>
      <c r="G37" s="239">
        <f>'SAGD Calculations'!D50</f>
        <v>1.1834319526627219E-4</v>
      </c>
      <c r="H37" s="46" t="s">
        <v>324</v>
      </c>
      <c r="I37" s="46">
        <v>1</v>
      </c>
      <c r="J37" s="291" t="s">
        <v>417</v>
      </c>
      <c r="K37" s="292"/>
      <c r="L37" s="292"/>
      <c r="M37" s="292"/>
      <c r="N37" s="292"/>
      <c r="O37" s="292"/>
      <c r="P37" s="293"/>
    </row>
    <row r="38" spans="2:16" x14ac:dyDescent="0.2">
      <c r="B38" s="17">
        <f t="shared" si="0"/>
        <v>14</v>
      </c>
      <c r="C38" s="240" t="s">
        <v>415</v>
      </c>
      <c r="D38" s="42"/>
      <c r="E38" s="239">
        <f>'SAGD Calculations'!B74</f>
        <v>1.4053254437869822E-3</v>
      </c>
      <c r="F38" s="239">
        <f>'SAGD Calculations'!C74</f>
        <v>1.7751479289940828E-4</v>
      </c>
      <c r="G38" s="239">
        <f>'SAGD Calculations'!D74</f>
        <v>2.9142011834319527E-3</v>
      </c>
      <c r="H38" s="46" t="s">
        <v>324</v>
      </c>
      <c r="I38" s="46">
        <v>1</v>
      </c>
      <c r="J38" s="291" t="s">
        <v>418</v>
      </c>
      <c r="K38" s="292"/>
      <c r="L38" s="292"/>
      <c r="M38" s="292"/>
      <c r="N38" s="292"/>
      <c r="O38" s="292"/>
      <c r="P38" s="293"/>
    </row>
    <row r="39" spans="2:16" x14ac:dyDescent="0.2">
      <c r="B39" s="17">
        <f t="shared" si="0"/>
        <v>12</v>
      </c>
      <c r="C39" s="240" t="s">
        <v>416</v>
      </c>
      <c r="D39" s="42"/>
      <c r="E39" s="239">
        <f>'CSS Calculations'!B48</f>
        <v>8.9743589743589749E-5</v>
      </c>
      <c r="F39" s="239">
        <f>'CSS Calculations'!C48</f>
        <v>8.5798816568047331E-5</v>
      </c>
      <c r="G39" s="239">
        <f>'CSS Calculations'!D48</f>
        <v>9.7633136094674557E-5</v>
      </c>
      <c r="H39" s="46" t="s">
        <v>324</v>
      </c>
      <c r="I39" s="46">
        <v>2</v>
      </c>
      <c r="J39" s="291" t="s">
        <v>419</v>
      </c>
      <c r="K39" s="292"/>
      <c r="L39" s="292"/>
      <c r="M39" s="292"/>
      <c r="N39" s="292"/>
      <c r="O39" s="292"/>
      <c r="P39" s="293"/>
    </row>
    <row r="40" spans="2:16" x14ac:dyDescent="0.2">
      <c r="B40" s="17">
        <f t="shared" si="0"/>
        <v>13</v>
      </c>
      <c r="C40" s="240" t="s">
        <v>414</v>
      </c>
      <c r="D40" s="42"/>
      <c r="E40" s="239">
        <f>'CSS Calculations'!B72</f>
        <v>1.3895463510848127E-3</v>
      </c>
      <c r="F40" s="239">
        <f>'CSS Calculations'!C72</f>
        <v>1.9822485207100592E-4</v>
      </c>
      <c r="G40" s="239">
        <f>'CSS Calculations'!D72</f>
        <v>2.8727810650887573E-3</v>
      </c>
      <c r="H40" s="46" t="s">
        <v>324</v>
      </c>
      <c r="I40" s="46">
        <v>2</v>
      </c>
      <c r="J40" s="291" t="s">
        <v>420</v>
      </c>
      <c r="K40" s="292"/>
      <c r="L40" s="292"/>
      <c r="M40" s="292"/>
      <c r="N40" s="292"/>
      <c r="O40" s="292"/>
      <c r="P40" s="293"/>
    </row>
    <row r="41" spans="2:16" ht="25.5" x14ac:dyDescent="0.2">
      <c r="B41" s="17">
        <f t="shared" si="0"/>
        <v>7</v>
      </c>
      <c r="C41" s="240" t="s">
        <v>359</v>
      </c>
      <c r="D41" s="42" t="s">
        <v>425</v>
      </c>
      <c r="E41" s="239">
        <f>IF(AND($E$23=0,$E$24=0),E37,IF(AND($E$23=0,$E$24=1),E39,0))/$E$50</f>
        <v>5.9098751137408629E-5</v>
      </c>
      <c r="F41" s="44"/>
      <c r="G41" s="45"/>
      <c r="H41" s="46" t="s">
        <v>324</v>
      </c>
      <c r="I41" s="46"/>
      <c r="J41" s="291" t="s">
        <v>376</v>
      </c>
      <c r="K41" s="292"/>
      <c r="L41" s="292"/>
      <c r="M41" s="292"/>
      <c r="N41" s="292"/>
      <c r="O41" s="292"/>
      <c r="P41" s="293"/>
    </row>
    <row r="42" spans="2:16" ht="25.5" x14ac:dyDescent="0.2">
      <c r="B42" s="17">
        <f t="shared" si="0"/>
        <v>8</v>
      </c>
      <c r="C42" s="240" t="s">
        <v>360</v>
      </c>
      <c r="D42" s="42" t="s">
        <v>426</v>
      </c>
      <c r="E42" s="239">
        <f>IF(AND($E$23=1,$E$24=0),E38,IF(AND($E$23=1,$E$24=1),E40,0))/$E$50</f>
        <v>0</v>
      </c>
      <c r="F42" s="44"/>
      <c r="G42" s="45"/>
      <c r="H42" s="46" t="s">
        <v>324</v>
      </c>
      <c r="I42" s="46"/>
      <c r="J42" s="291" t="s">
        <v>377</v>
      </c>
      <c r="K42" s="292"/>
      <c r="L42" s="292"/>
      <c r="M42" s="292"/>
      <c r="N42" s="292"/>
      <c r="O42" s="292"/>
      <c r="P42" s="293"/>
    </row>
    <row r="43" spans="2:16" x14ac:dyDescent="0.2">
      <c r="B43" s="17">
        <f t="shared" si="0"/>
        <v>13</v>
      </c>
      <c r="C43" s="240" t="s">
        <v>347</v>
      </c>
      <c r="D43" s="42"/>
      <c r="E43" s="239">
        <f>'SAGD Calculations'!B77</f>
        <v>0.25154077908427552</v>
      </c>
      <c r="F43" s="239">
        <f>'SAGD Calculations'!C77</f>
        <v>0.25154077908427552</v>
      </c>
      <c r="G43" s="239">
        <f>'SAGD Calculations'!D77</f>
        <v>0.25154077908427552</v>
      </c>
      <c r="H43" s="46" t="s">
        <v>41</v>
      </c>
      <c r="I43" s="46" t="s">
        <v>575</v>
      </c>
      <c r="J43" s="291" t="s">
        <v>371</v>
      </c>
      <c r="K43" s="292"/>
      <c r="L43" s="292"/>
      <c r="M43" s="292"/>
      <c r="N43" s="292"/>
      <c r="O43" s="292"/>
      <c r="P43" s="293"/>
    </row>
    <row r="44" spans="2:16" x14ac:dyDescent="0.2">
      <c r="B44" s="17">
        <f t="shared" si="0"/>
        <v>9</v>
      </c>
      <c r="C44" s="240" t="s">
        <v>348</v>
      </c>
      <c r="D44" s="42"/>
      <c r="E44" s="239">
        <f>'SAGD Calculations'!B78</f>
        <v>0.17825132738415958</v>
      </c>
      <c r="F44" s="239">
        <f>'SAGD Calculations'!C78</f>
        <v>0.17825132738415958</v>
      </c>
      <c r="G44" s="239">
        <f>'SAGD Calculations'!D78</f>
        <v>0.17825132738415958</v>
      </c>
      <c r="H44" s="46" t="s">
        <v>41</v>
      </c>
      <c r="I44" s="46" t="s">
        <v>575</v>
      </c>
      <c r="J44" s="223" t="s">
        <v>372</v>
      </c>
      <c r="K44" s="224"/>
      <c r="L44" s="224"/>
      <c r="M44" s="224"/>
      <c r="N44" s="224"/>
      <c r="O44" s="224"/>
      <c r="P44" s="225"/>
    </row>
    <row r="45" spans="2:16" x14ac:dyDescent="0.2">
      <c r="B45" s="17">
        <f t="shared" si="0"/>
        <v>9</v>
      </c>
      <c r="C45" s="240" t="s">
        <v>349</v>
      </c>
      <c r="D45" s="42"/>
      <c r="E45" s="239">
        <f>'SAGD Calculations'!B79</f>
        <v>0.88362919132149909</v>
      </c>
      <c r="F45" s="239">
        <f>'SAGD Calculations'!C79</f>
        <v>0.88362919132149909</v>
      </c>
      <c r="G45" s="239">
        <f>'SAGD Calculations'!D79</f>
        <v>0.88362919132149909</v>
      </c>
      <c r="H45" s="46" t="s">
        <v>41</v>
      </c>
      <c r="I45" s="46" t="s">
        <v>575</v>
      </c>
      <c r="J45" s="223" t="s">
        <v>373</v>
      </c>
      <c r="K45" s="224"/>
      <c r="L45" s="224"/>
      <c r="M45" s="224"/>
      <c r="N45" s="224"/>
      <c r="O45" s="224"/>
      <c r="P45" s="225"/>
    </row>
    <row r="46" spans="2:16" x14ac:dyDescent="0.2">
      <c r="B46" s="17">
        <f t="shared" si="0"/>
        <v>13</v>
      </c>
      <c r="C46" s="240" t="s">
        <v>350</v>
      </c>
      <c r="D46" s="42"/>
      <c r="E46" s="239">
        <f>'SAGD Calculations'!B59</f>
        <v>0.32340957310835433</v>
      </c>
      <c r="F46" s="239">
        <f>'SAGD Calculations'!C59</f>
        <v>0.32340957310835433</v>
      </c>
      <c r="G46" s="239">
        <f>'SAGD Calculations'!D59</f>
        <v>0.32340957310835433</v>
      </c>
      <c r="H46" s="46" t="s">
        <v>41</v>
      </c>
      <c r="I46" s="46" t="s">
        <v>575</v>
      </c>
      <c r="J46" s="291" t="s">
        <v>374</v>
      </c>
      <c r="K46" s="292"/>
      <c r="L46" s="292"/>
      <c r="M46" s="292"/>
      <c r="N46" s="292"/>
      <c r="O46" s="292"/>
      <c r="P46" s="293"/>
    </row>
    <row r="47" spans="2:16" ht="25.5" x14ac:dyDescent="0.2">
      <c r="B47" s="17">
        <f t="shared" si="0"/>
        <v>14</v>
      </c>
      <c r="C47" s="240" t="s">
        <v>351</v>
      </c>
      <c r="D47" s="42" t="s">
        <v>352</v>
      </c>
      <c r="E47" s="239">
        <f>IF(AND(E25=0,E26=0),E43,IF(E25=2,E46,0))</f>
        <v>0.25154077908427552</v>
      </c>
      <c r="F47" s="44"/>
      <c r="G47" s="45"/>
      <c r="H47" s="46" t="s">
        <v>41</v>
      </c>
      <c r="I47" s="46"/>
      <c r="J47" s="291" t="s">
        <v>375</v>
      </c>
      <c r="K47" s="292"/>
      <c r="L47" s="292"/>
      <c r="M47" s="292"/>
      <c r="N47" s="292"/>
      <c r="O47" s="292"/>
      <c r="P47" s="293"/>
    </row>
    <row r="48" spans="2:16" x14ac:dyDescent="0.2">
      <c r="B48" s="17">
        <f t="shared" si="0"/>
        <v>10</v>
      </c>
      <c r="C48" s="240" t="s">
        <v>353</v>
      </c>
      <c r="D48" s="42" t="s">
        <v>354</v>
      </c>
      <c r="E48" s="239">
        <f>IF(AND(E25=0,E26=1),E44,0)</f>
        <v>0</v>
      </c>
      <c r="F48" s="44"/>
      <c r="G48" s="45"/>
      <c r="H48" s="46" t="s">
        <v>41</v>
      </c>
      <c r="I48" s="46"/>
      <c r="J48" s="291" t="s">
        <v>372</v>
      </c>
      <c r="K48" s="292"/>
      <c r="L48" s="292"/>
      <c r="M48" s="292"/>
      <c r="N48" s="292"/>
      <c r="O48" s="292"/>
      <c r="P48" s="293"/>
    </row>
    <row r="49" spans="2:16" x14ac:dyDescent="0.2">
      <c r="B49" s="17">
        <f t="shared" si="0"/>
        <v>10</v>
      </c>
      <c r="C49" s="240" t="s">
        <v>355</v>
      </c>
      <c r="D49" s="42" t="s">
        <v>356</v>
      </c>
      <c r="E49" s="239">
        <f>IF(E25=1,E45,0)</f>
        <v>0</v>
      </c>
      <c r="F49" s="44"/>
      <c r="G49" s="45"/>
      <c r="H49" s="46" t="s">
        <v>41</v>
      </c>
      <c r="I49" s="46"/>
      <c r="J49" s="291" t="s">
        <v>373</v>
      </c>
      <c r="K49" s="292"/>
      <c r="L49" s="292"/>
      <c r="M49" s="292"/>
      <c r="N49" s="292"/>
      <c r="O49" s="292"/>
      <c r="P49" s="293"/>
    </row>
    <row r="50" spans="2:16" x14ac:dyDescent="0.2">
      <c r="B50" s="17">
        <f t="shared" si="0"/>
        <v>11</v>
      </c>
      <c r="C50" s="240" t="s">
        <v>357</v>
      </c>
      <c r="D50" s="42" t="s">
        <v>358</v>
      </c>
      <c r="E50" s="263">
        <f>1+E47+E48+E49</f>
        <v>1.2515407790842756</v>
      </c>
      <c r="F50" s="44"/>
      <c r="G50" s="45"/>
      <c r="H50" s="46" t="s">
        <v>41</v>
      </c>
      <c r="I50" s="46"/>
      <c r="J50" s="291" t="s">
        <v>568</v>
      </c>
      <c r="K50" s="292"/>
      <c r="L50" s="292"/>
      <c r="M50" s="292"/>
      <c r="N50" s="292"/>
      <c r="O50" s="292"/>
      <c r="P50" s="293"/>
    </row>
    <row r="51" spans="2:16" x14ac:dyDescent="0.2">
      <c r="B51" s="17">
        <f t="shared" si="0"/>
        <v>15</v>
      </c>
      <c r="C51" s="240" t="s">
        <v>361</v>
      </c>
      <c r="D51" s="41" t="s">
        <v>362</v>
      </c>
      <c r="E51" s="239">
        <f>E47/$E$50</f>
        <v>0.20098488462223524</v>
      </c>
      <c r="F51" s="44"/>
      <c r="G51" s="45"/>
      <c r="H51" s="46" t="s">
        <v>41</v>
      </c>
      <c r="I51" s="46"/>
      <c r="J51" s="291" t="s">
        <v>378</v>
      </c>
      <c r="K51" s="292"/>
      <c r="L51" s="292"/>
      <c r="M51" s="292"/>
      <c r="N51" s="292"/>
      <c r="O51" s="292"/>
      <c r="P51" s="293"/>
    </row>
    <row r="52" spans="2:16" x14ac:dyDescent="0.2">
      <c r="B52" s="17">
        <f t="shared" si="0"/>
        <v>15</v>
      </c>
      <c r="C52" s="240" t="s">
        <v>363</v>
      </c>
      <c r="D52" s="41" t="s">
        <v>364</v>
      </c>
      <c r="E52" s="239">
        <f t="shared" ref="E52:E53" si="1">E48/$E$50</f>
        <v>0</v>
      </c>
      <c r="F52" s="44"/>
      <c r="G52" s="45"/>
      <c r="H52" s="46" t="s">
        <v>41</v>
      </c>
      <c r="I52" s="46"/>
      <c r="J52" s="291" t="s">
        <v>379</v>
      </c>
      <c r="K52" s="292"/>
      <c r="L52" s="292"/>
      <c r="M52" s="292"/>
      <c r="N52" s="292"/>
      <c r="O52" s="292"/>
      <c r="P52" s="293"/>
    </row>
    <row r="53" spans="2:16" x14ac:dyDescent="0.2">
      <c r="B53" s="17">
        <f t="shared" si="0"/>
        <v>15</v>
      </c>
      <c r="C53" s="240" t="s">
        <v>365</v>
      </c>
      <c r="D53" s="41" t="s">
        <v>366</v>
      </c>
      <c r="E53" s="239">
        <f t="shared" si="1"/>
        <v>0</v>
      </c>
      <c r="F53" s="44"/>
      <c r="G53" s="45"/>
      <c r="H53" s="46" t="s">
        <v>41</v>
      </c>
      <c r="I53" s="46"/>
      <c r="J53" s="291" t="s">
        <v>380</v>
      </c>
      <c r="K53" s="292"/>
      <c r="L53" s="292"/>
      <c r="M53" s="292"/>
      <c r="N53" s="292"/>
      <c r="O53" s="292"/>
      <c r="P53" s="293"/>
    </row>
    <row r="54" spans="2:16" x14ac:dyDescent="0.2">
      <c r="B54" s="17">
        <f t="shared" si="0"/>
        <v>7</v>
      </c>
      <c r="C54" s="240" t="s">
        <v>441</v>
      </c>
      <c r="D54" s="42"/>
      <c r="E54" s="43">
        <f>'SAGD Calculations'!B56</f>
        <v>150</v>
      </c>
      <c r="F54" s="43">
        <f>'SAGD Calculations'!C56</f>
        <v>100</v>
      </c>
      <c r="G54" s="43">
        <f>'SAGD Calculations'!D56</f>
        <v>200</v>
      </c>
      <c r="H54" s="46" t="s">
        <v>442</v>
      </c>
      <c r="I54" s="46" t="s">
        <v>517</v>
      </c>
      <c r="J54" s="223" t="s">
        <v>488</v>
      </c>
      <c r="K54" s="224"/>
      <c r="L54" s="224"/>
      <c r="M54" s="224"/>
      <c r="N54" s="224"/>
      <c r="O54" s="224"/>
      <c r="P54" s="225"/>
    </row>
    <row r="55" spans="2:16" x14ac:dyDescent="0.2">
      <c r="B55" s="17">
        <f t="shared" si="0"/>
        <v>13</v>
      </c>
      <c r="C55" s="240" t="s">
        <v>431</v>
      </c>
      <c r="D55" s="42"/>
      <c r="E55" s="241">
        <f>'SAGD Calculations'!B6</f>
        <v>5</v>
      </c>
      <c r="F55" s="43">
        <f>'SAGD Calculations'!C6</f>
        <v>1</v>
      </c>
      <c r="G55" s="43">
        <f>'SAGD Calculations'!D6</f>
        <v>12</v>
      </c>
      <c r="H55" s="46" t="s">
        <v>432</v>
      </c>
      <c r="I55" s="46" t="s">
        <v>517</v>
      </c>
      <c r="J55" s="250" t="s">
        <v>508</v>
      </c>
      <c r="K55" s="224"/>
      <c r="L55" s="224"/>
      <c r="M55" s="224"/>
      <c r="N55" s="224"/>
      <c r="O55" s="224"/>
      <c r="P55" s="225"/>
    </row>
    <row r="56" spans="2:16" x14ac:dyDescent="0.2">
      <c r="B56" s="17">
        <f t="shared" si="0"/>
        <v>12</v>
      </c>
      <c r="C56" s="240" t="s">
        <v>453</v>
      </c>
      <c r="D56" s="42"/>
      <c r="E56" s="241">
        <f>'CSS Calculations'!B6</f>
        <v>51.4</v>
      </c>
      <c r="F56" s="241">
        <f>'CSS Calculations'!C6</f>
        <v>29.2</v>
      </c>
      <c r="G56" s="241">
        <f>'CSS Calculations'!D6</f>
        <v>86.6</v>
      </c>
      <c r="H56" s="46" t="s">
        <v>432</v>
      </c>
      <c r="I56" s="46" t="s">
        <v>517</v>
      </c>
      <c r="J56" s="250" t="s">
        <v>509</v>
      </c>
      <c r="K56" s="237"/>
      <c r="L56" s="237"/>
      <c r="M56" s="237"/>
      <c r="N56" s="237"/>
      <c r="O56" s="237"/>
      <c r="P56" s="238"/>
    </row>
    <row r="57" spans="2:16" x14ac:dyDescent="0.2">
      <c r="B57" s="17">
        <f t="shared" si="0"/>
        <v>8</v>
      </c>
      <c r="C57" s="240" t="s">
        <v>466</v>
      </c>
      <c r="D57" s="42" t="s">
        <v>467</v>
      </c>
      <c r="E57" s="241">
        <f>IF(E24=0,E55,E56)</f>
        <v>5</v>
      </c>
      <c r="F57" s="241"/>
      <c r="G57" s="241"/>
      <c r="H57" s="46" t="s">
        <v>432</v>
      </c>
      <c r="I57" s="46"/>
      <c r="J57" s="250" t="s">
        <v>514</v>
      </c>
      <c r="K57" s="237"/>
      <c r="L57" s="237"/>
      <c r="M57" s="237"/>
      <c r="N57" s="237"/>
      <c r="O57" s="237"/>
      <c r="P57" s="238"/>
    </row>
    <row r="58" spans="2:16" x14ac:dyDescent="0.2">
      <c r="B58" s="17">
        <f t="shared" si="0"/>
        <v>12</v>
      </c>
      <c r="C58" s="240" t="s">
        <v>428</v>
      </c>
      <c r="D58" s="42"/>
      <c r="E58" s="241">
        <f>'SAGD Calculations'!B4</f>
        <v>2.6</v>
      </c>
      <c r="F58" s="241">
        <f>'SAGD Calculations'!C4</f>
        <v>2.2000000000000002</v>
      </c>
      <c r="G58" s="241">
        <f>'SAGD Calculations'!D4</f>
        <v>3.3</v>
      </c>
      <c r="H58" s="46" t="s">
        <v>432</v>
      </c>
      <c r="I58" s="46">
        <v>1</v>
      </c>
      <c r="J58" s="250" t="s">
        <v>510</v>
      </c>
      <c r="K58" s="224"/>
      <c r="L58" s="224"/>
      <c r="M58" s="224"/>
      <c r="N58" s="224"/>
      <c r="O58" s="224"/>
      <c r="P58" s="225"/>
    </row>
    <row r="59" spans="2:16" x14ac:dyDescent="0.2">
      <c r="B59" s="17">
        <f t="shared" si="0"/>
        <v>12</v>
      </c>
      <c r="C59" s="240" t="s">
        <v>461</v>
      </c>
      <c r="D59" s="42" t="s">
        <v>433</v>
      </c>
      <c r="E59" s="241">
        <f>E58/0.8</f>
        <v>3.25</v>
      </c>
      <c r="F59" s="44"/>
      <c r="G59" s="45"/>
      <c r="H59" s="46" t="s">
        <v>432</v>
      </c>
      <c r="I59" s="46"/>
      <c r="J59" s="250" t="s">
        <v>511</v>
      </c>
      <c r="K59" s="224"/>
      <c r="L59" s="224"/>
      <c r="M59" s="224"/>
      <c r="N59" s="224"/>
      <c r="O59" s="224"/>
      <c r="P59" s="225"/>
    </row>
    <row r="60" spans="2:16" x14ac:dyDescent="0.2">
      <c r="B60" s="17">
        <f t="shared" si="0"/>
        <v>11</v>
      </c>
      <c r="C60" s="240" t="s">
        <v>456</v>
      </c>
      <c r="D60" s="42"/>
      <c r="E60" s="241">
        <f>'CSS Calculations'!B4</f>
        <v>3.5</v>
      </c>
      <c r="F60" s="241">
        <f>'CSS Calculations'!C4</f>
        <v>2.6</v>
      </c>
      <c r="G60" s="241">
        <f>'CSS Calculations'!D4</f>
        <v>5.9</v>
      </c>
      <c r="H60" s="46" t="s">
        <v>432</v>
      </c>
      <c r="I60" s="46">
        <v>2</v>
      </c>
      <c r="J60" s="250" t="s">
        <v>512</v>
      </c>
      <c r="K60" s="237"/>
      <c r="L60" s="237"/>
      <c r="M60" s="237"/>
      <c r="N60" s="237"/>
      <c r="O60" s="237"/>
      <c r="P60" s="238"/>
    </row>
    <row r="61" spans="2:16" x14ac:dyDescent="0.2">
      <c r="B61" s="17">
        <f t="shared" si="0"/>
        <v>7</v>
      </c>
      <c r="C61" s="240" t="s">
        <v>463</v>
      </c>
      <c r="D61" s="42" t="s">
        <v>464</v>
      </c>
      <c r="E61" s="245">
        <f>IF(E24=0,E59,E60)</f>
        <v>3.25</v>
      </c>
      <c r="F61" s="44"/>
      <c r="G61" s="45"/>
      <c r="H61" s="46" t="s">
        <v>432</v>
      </c>
      <c r="I61" s="46"/>
      <c r="J61" s="250" t="s">
        <v>513</v>
      </c>
      <c r="K61" s="237"/>
      <c r="L61" s="237"/>
      <c r="M61" s="237"/>
      <c r="N61" s="237"/>
      <c r="O61" s="237"/>
      <c r="P61" s="238"/>
    </row>
    <row r="62" spans="2:16" x14ac:dyDescent="0.2">
      <c r="B62" s="17">
        <f t="shared" si="0"/>
        <v>4</v>
      </c>
      <c r="C62" s="240" t="s">
        <v>459</v>
      </c>
      <c r="D62" s="42" t="s">
        <v>451</v>
      </c>
      <c r="E62" s="43">
        <f>E54*'SAGD Calculations'!D110+'SAGD Calculations'!D111</f>
        <v>639.36518181818178</v>
      </c>
      <c r="F62" s="44"/>
      <c r="G62" s="45"/>
      <c r="H62" s="46" t="s">
        <v>434</v>
      </c>
      <c r="I62" s="46">
        <v>5</v>
      </c>
      <c r="J62" s="223" t="s">
        <v>452</v>
      </c>
      <c r="K62" s="224"/>
      <c r="L62" s="224"/>
      <c r="M62" s="224"/>
      <c r="N62" s="224"/>
      <c r="O62" s="224"/>
      <c r="P62" s="225"/>
    </row>
    <row r="63" spans="2:16" x14ac:dyDescent="0.2">
      <c r="B63" s="17">
        <f t="shared" si="0"/>
        <v>9</v>
      </c>
      <c r="C63" s="240" t="s">
        <v>457</v>
      </c>
      <c r="D63" s="42" t="s">
        <v>458</v>
      </c>
      <c r="E63" s="43">
        <f>IF(E24=0,2472,2447)</f>
        <v>2472</v>
      </c>
      <c r="F63" s="44"/>
      <c r="G63" s="45"/>
      <c r="H63" s="46" t="s">
        <v>434</v>
      </c>
      <c r="I63" s="46" t="s">
        <v>517</v>
      </c>
      <c r="J63" s="223" t="s">
        <v>435</v>
      </c>
      <c r="K63" s="224"/>
      <c r="L63" s="224"/>
      <c r="M63" s="224"/>
      <c r="N63" s="224"/>
      <c r="O63" s="224"/>
      <c r="P63" s="225"/>
    </row>
    <row r="64" spans="2:16" x14ac:dyDescent="0.2">
      <c r="B64" s="17">
        <f t="shared" si="0"/>
        <v>7</v>
      </c>
      <c r="C64" s="240" t="s">
        <v>462</v>
      </c>
      <c r="D64" s="42" t="s">
        <v>460</v>
      </c>
      <c r="E64" s="43">
        <f>E63-E62</f>
        <v>1832.6348181818182</v>
      </c>
      <c r="F64" s="44"/>
      <c r="G64" s="45"/>
      <c r="H64" s="46" t="s">
        <v>434</v>
      </c>
      <c r="I64" s="46"/>
      <c r="J64" s="223" t="s">
        <v>506</v>
      </c>
      <c r="K64" s="224"/>
      <c r="L64" s="224"/>
      <c r="M64" s="224"/>
      <c r="N64" s="224"/>
      <c r="O64" s="224"/>
      <c r="P64" s="225"/>
    </row>
    <row r="65" spans="2:16" x14ac:dyDescent="0.2">
      <c r="B65" s="17">
        <f t="shared" si="0"/>
        <v>6</v>
      </c>
      <c r="C65" s="240" t="s">
        <v>429</v>
      </c>
      <c r="D65" s="42"/>
      <c r="E65" s="43">
        <f>'SAGD Calculations'!B99</f>
        <v>37850</v>
      </c>
      <c r="F65" s="44"/>
      <c r="G65" s="45"/>
      <c r="H65" s="46" t="s">
        <v>256</v>
      </c>
      <c r="I65" s="46" t="s">
        <v>517</v>
      </c>
      <c r="J65" s="223" t="s">
        <v>507</v>
      </c>
      <c r="K65" s="224"/>
      <c r="L65" s="224"/>
      <c r="M65" s="224"/>
      <c r="N65" s="224"/>
      <c r="O65" s="224"/>
      <c r="P65" s="225"/>
    </row>
    <row r="66" spans="2:16" x14ac:dyDescent="0.2">
      <c r="B66" s="17">
        <f t="shared" si="0"/>
        <v>14</v>
      </c>
      <c r="C66" s="240" t="s">
        <v>430</v>
      </c>
      <c r="D66" s="42"/>
      <c r="E66" s="241">
        <v>0.8</v>
      </c>
      <c r="F66" s="44"/>
      <c r="G66" s="45"/>
      <c r="H66" s="46"/>
      <c r="I66" s="46" t="s">
        <v>517</v>
      </c>
      <c r="J66" s="223" t="s">
        <v>438</v>
      </c>
      <c r="K66" s="224"/>
      <c r="L66" s="224"/>
      <c r="M66" s="224"/>
      <c r="N66" s="224"/>
      <c r="O66" s="224"/>
      <c r="P66" s="225"/>
    </row>
    <row r="67" spans="2:16" x14ac:dyDescent="0.2">
      <c r="B67" s="17">
        <f t="shared" si="0"/>
        <v>11</v>
      </c>
      <c r="C67" s="240" t="s">
        <v>455</v>
      </c>
      <c r="D67" s="42" t="s">
        <v>465</v>
      </c>
      <c r="E67" s="239">
        <f>E61*E64*1000/E65/E66</f>
        <v>196.69957592770504</v>
      </c>
      <c r="F67" s="44"/>
      <c r="G67" s="45"/>
      <c r="H67" s="46" t="s">
        <v>432</v>
      </c>
      <c r="I67" s="46"/>
      <c r="J67" s="223" t="s">
        <v>515</v>
      </c>
      <c r="K67" s="224"/>
      <c r="L67" s="224"/>
      <c r="M67" s="224"/>
      <c r="N67" s="224"/>
      <c r="O67" s="224"/>
      <c r="P67" s="225"/>
    </row>
    <row r="68" spans="2:16" x14ac:dyDescent="0.2">
      <c r="B68" s="17">
        <f t="shared" si="0"/>
        <v>15</v>
      </c>
      <c r="C68" s="240" t="s">
        <v>454</v>
      </c>
      <c r="D68" s="42" t="s">
        <v>579</v>
      </c>
      <c r="E68" s="239">
        <f>E67-E57</f>
        <v>191.69957592770504</v>
      </c>
      <c r="F68" s="44"/>
      <c r="G68" s="45"/>
      <c r="H68" s="46" t="s">
        <v>432</v>
      </c>
      <c r="I68" s="46"/>
      <c r="J68" s="250" t="s">
        <v>516</v>
      </c>
      <c r="K68" s="224"/>
      <c r="L68" s="224"/>
      <c r="M68" s="224"/>
      <c r="N68" s="224"/>
      <c r="O68" s="224"/>
      <c r="P68" s="225"/>
    </row>
    <row r="69" spans="2:16" x14ac:dyDescent="0.2">
      <c r="B69" s="17">
        <f t="shared" si="0"/>
        <v>15</v>
      </c>
      <c r="C69" s="240" t="s">
        <v>547</v>
      </c>
      <c r="D69" s="42"/>
      <c r="E69" s="241">
        <f>'SAGD Calculations'!B32/Conversions!$E$11</f>
        <v>1.5</v>
      </c>
      <c r="F69" s="241">
        <f>'SAGD Calculations'!C32/Conversions!$E$11</f>
        <v>0.3</v>
      </c>
      <c r="G69" s="241">
        <f>'SAGD Calculations'!D32/Conversions!$E$11</f>
        <v>3</v>
      </c>
      <c r="H69" s="46" t="s">
        <v>536</v>
      </c>
      <c r="I69" s="46">
        <v>1</v>
      </c>
      <c r="J69" s="250" t="s">
        <v>553</v>
      </c>
      <c r="K69" s="251"/>
      <c r="L69" s="251"/>
      <c r="M69" s="251"/>
      <c r="N69" s="251"/>
      <c r="O69" s="251"/>
      <c r="P69" s="252"/>
    </row>
    <row r="70" spans="2:16" x14ac:dyDescent="0.2">
      <c r="B70" s="17">
        <f t="shared" si="0"/>
        <v>14</v>
      </c>
      <c r="C70" s="240" t="s">
        <v>552</v>
      </c>
      <c r="D70" s="42"/>
      <c r="E70" s="241">
        <f>'CSS Calculations'!B32/Conversions!$E$11</f>
        <v>1.5</v>
      </c>
      <c r="F70" s="241">
        <f>'CSS Calculations'!C32/Conversions!$E$11</f>
        <v>0.3</v>
      </c>
      <c r="G70" s="241">
        <f>'CSS Calculations'!D32/Conversions!$E$11</f>
        <v>3</v>
      </c>
      <c r="H70" s="46" t="s">
        <v>536</v>
      </c>
      <c r="I70" s="46">
        <v>2</v>
      </c>
      <c r="J70" s="250" t="s">
        <v>554</v>
      </c>
      <c r="K70" s="251"/>
      <c r="L70" s="251"/>
      <c r="M70" s="251"/>
      <c r="N70" s="251"/>
      <c r="O70" s="251"/>
      <c r="P70" s="252"/>
    </row>
    <row r="71" spans="2:16" x14ac:dyDescent="0.2">
      <c r="B71" s="17">
        <f t="shared" si="0"/>
        <v>15</v>
      </c>
      <c r="C71" s="240" t="s">
        <v>537</v>
      </c>
      <c r="D71" s="42"/>
      <c r="E71" s="241">
        <f>'SAGD Calculations'!B31</f>
        <v>0.3</v>
      </c>
      <c r="F71" s="241"/>
      <c r="G71" s="241"/>
      <c r="H71" s="46"/>
      <c r="I71" s="46"/>
      <c r="J71" s="250" t="s">
        <v>566</v>
      </c>
      <c r="K71" s="251"/>
      <c r="L71" s="251"/>
      <c r="M71" s="251"/>
      <c r="N71" s="251"/>
      <c r="O71" s="251"/>
      <c r="P71" s="252"/>
    </row>
    <row r="72" spans="2:16" x14ac:dyDescent="0.2">
      <c r="B72" s="17">
        <f t="shared" si="0"/>
        <v>11</v>
      </c>
      <c r="C72" s="240" t="s">
        <v>538</v>
      </c>
      <c r="D72" s="42"/>
      <c r="E72" s="241">
        <f>'SAGD Calculations'!B88</f>
        <v>37.9</v>
      </c>
      <c r="F72" s="241"/>
      <c r="G72" s="241"/>
      <c r="H72" s="46" t="s">
        <v>531</v>
      </c>
      <c r="I72" s="46">
        <v>1</v>
      </c>
      <c r="J72" s="250" t="s">
        <v>539</v>
      </c>
      <c r="K72" s="251"/>
      <c r="L72" s="251"/>
      <c r="M72" s="251"/>
      <c r="N72" s="251"/>
      <c r="O72" s="251"/>
      <c r="P72" s="252"/>
    </row>
    <row r="73" spans="2:16" x14ac:dyDescent="0.2">
      <c r="B73" s="17">
        <f t="shared" si="0"/>
        <v>13</v>
      </c>
      <c r="C73" s="240" t="s">
        <v>555</v>
      </c>
      <c r="D73" s="42" t="s">
        <v>550</v>
      </c>
      <c r="E73" s="241">
        <f>E69*3600/$E$71/$E$72</f>
        <v>474.93403693931401</v>
      </c>
      <c r="F73" s="241"/>
      <c r="G73" s="241"/>
      <c r="H73" s="46" t="s">
        <v>535</v>
      </c>
      <c r="I73" s="46"/>
      <c r="J73" s="250" t="s">
        <v>540</v>
      </c>
      <c r="K73" s="251"/>
      <c r="L73" s="251"/>
      <c r="M73" s="251"/>
      <c r="N73" s="251"/>
      <c r="O73" s="251"/>
      <c r="P73" s="252"/>
    </row>
    <row r="74" spans="2:16" x14ac:dyDescent="0.2">
      <c r="B74" s="17">
        <f t="shared" si="0"/>
        <v>12</v>
      </c>
      <c r="C74" s="240" t="s">
        <v>556</v>
      </c>
      <c r="D74" s="42" t="s">
        <v>551</v>
      </c>
      <c r="E74" s="241">
        <f>E70*3600/$E$71/$E$72</f>
        <v>474.93403693931401</v>
      </c>
      <c r="F74" s="241"/>
      <c r="G74" s="241"/>
      <c r="H74" s="46" t="s">
        <v>535</v>
      </c>
      <c r="I74" s="46"/>
      <c r="J74" s="250" t="s">
        <v>541</v>
      </c>
      <c r="K74" s="251"/>
      <c r="L74" s="251"/>
      <c r="M74" s="251"/>
      <c r="N74" s="251"/>
      <c r="O74" s="251"/>
      <c r="P74" s="252"/>
    </row>
    <row r="75" spans="2:16" x14ac:dyDescent="0.2">
      <c r="B75" s="17">
        <f t="shared" si="0"/>
        <v>14</v>
      </c>
      <c r="C75" s="240" t="s">
        <v>557</v>
      </c>
      <c r="D75" s="42" t="s">
        <v>559</v>
      </c>
      <c r="E75" s="241">
        <f>E73-E55</f>
        <v>469.93403693931401</v>
      </c>
      <c r="F75" s="241"/>
      <c r="G75" s="241"/>
      <c r="H75" s="46" t="s">
        <v>535</v>
      </c>
      <c r="I75" s="46"/>
      <c r="J75" s="250" t="s">
        <v>542</v>
      </c>
      <c r="K75" s="251"/>
      <c r="L75" s="251"/>
      <c r="M75" s="251"/>
      <c r="N75" s="251"/>
      <c r="O75" s="251"/>
      <c r="P75" s="252"/>
    </row>
    <row r="76" spans="2:16" x14ac:dyDescent="0.2">
      <c r="B76" s="17">
        <f t="shared" si="0"/>
        <v>13</v>
      </c>
      <c r="C76" s="240" t="s">
        <v>558</v>
      </c>
      <c r="D76" s="42" t="s">
        <v>560</v>
      </c>
      <c r="E76" s="241">
        <f>E74-E56</f>
        <v>423.53403693931403</v>
      </c>
      <c r="F76" s="241"/>
      <c r="G76" s="241"/>
      <c r="H76" s="46" t="s">
        <v>535</v>
      </c>
      <c r="I76" s="46"/>
      <c r="J76" s="250" t="s">
        <v>543</v>
      </c>
      <c r="K76" s="251"/>
      <c r="L76" s="251"/>
      <c r="M76" s="251"/>
      <c r="N76" s="251"/>
      <c r="O76" s="251"/>
      <c r="P76" s="252"/>
    </row>
    <row r="77" spans="2:16" x14ac:dyDescent="0.2">
      <c r="B77" s="17">
        <f t="shared" si="0"/>
        <v>10</v>
      </c>
      <c r="C77" s="240" t="s">
        <v>544</v>
      </c>
      <c r="D77" s="42"/>
      <c r="E77" s="241">
        <f>'SAGD Calculations'!D87</f>
        <v>0.67277609569123809</v>
      </c>
      <c r="F77" s="241"/>
      <c r="G77" s="241"/>
      <c r="H77" s="46" t="s">
        <v>545</v>
      </c>
      <c r="I77" s="46">
        <v>4</v>
      </c>
      <c r="J77" s="250" t="s">
        <v>546</v>
      </c>
      <c r="K77" s="251"/>
      <c r="L77" s="251"/>
      <c r="M77" s="251"/>
      <c r="N77" s="251"/>
      <c r="O77" s="251"/>
      <c r="P77" s="252"/>
    </row>
    <row r="78" spans="2:16" x14ac:dyDescent="0.2">
      <c r="B78" s="17">
        <f t="shared" si="0"/>
        <v>11</v>
      </c>
      <c r="C78" s="240" t="s">
        <v>548</v>
      </c>
      <c r="D78" s="42"/>
      <c r="E78" s="241">
        <f>'SAGD Calculations'!B82</f>
        <v>1014</v>
      </c>
      <c r="F78" s="241"/>
      <c r="G78" s="241"/>
      <c r="H78" s="46" t="s">
        <v>545</v>
      </c>
      <c r="I78" s="46">
        <v>1</v>
      </c>
      <c r="J78" s="250" t="s">
        <v>549</v>
      </c>
      <c r="K78" s="251"/>
      <c r="L78" s="251"/>
      <c r="M78" s="251"/>
      <c r="N78" s="251"/>
      <c r="O78" s="251"/>
      <c r="P78" s="252"/>
    </row>
    <row r="79" spans="2:16" x14ac:dyDescent="0.2">
      <c r="B79" s="17">
        <f t="shared" si="0"/>
        <v>13</v>
      </c>
      <c r="C79" s="240" t="s">
        <v>421</v>
      </c>
      <c r="D79" s="240" t="s">
        <v>561</v>
      </c>
      <c r="E79" s="239">
        <f>E75/$E$78*$E$77</f>
        <v>0.31179525306159145</v>
      </c>
      <c r="F79" s="44"/>
      <c r="G79" s="45"/>
      <c r="H79" s="46" t="s">
        <v>41</v>
      </c>
      <c r="I79" s="46"/>
      <c r="J79" s="291" t="s">
        <v>423</v>
      </c>
      <c r="K79" s="292"/>
      <c r="L79" s="292"/>
      <c r="M79" s="292"/>
      <c r="N79" s="292"/>
      <c r="O79" s="292"/>
      <c r="P79" s="293"/>
    </row>
    <row r="80" spans="2:16" x14ac:dyDescent="0.2">
      <c r="B80" s="17">
        <f t="shared" si="0"/>
        <v>12</v>
      </c>
      <c r="C80" s="240" t="s">
        <v>422</v>
      </c>
      <c r="D80" s="240" t="s">
        <v>562</v>
      </c>
      <c r="E80" s="239">
        <f>E76/$E$78*$E$77</f>
        <v>0.28100944355461566</v>
      </c>
      <c r="F80" s="44"/>
      <c r="G80" s="45"/>
      <c r="H80" s="46" t="s">
        <v>41</v>
      </c>
      <c r="I80" s="46"/>
      <c r="J80" s="291" t="s">
        <v>424</v>
      </c>
      <c r="K80" s="292"/>
      <c r="L80" s="292"/>
      <c r="M80" s="292"/>
      <c r="N80" s="292"/>
      <c r="O80" s="292"/>
      <c r="P80" s="293"/>
    </row>
    <row r="81" spans="1:25" x14ac:dyDescent="0.2">
      <c r="B81" s="17">
        <f t="shared" si="0"/>
        <v>14</v>
      </c>
      <c r="C81" s="240" t="s">
        <v>342</v>
      </c>
      <c r="D81" s="42" t="s">
        <v>564</v>
      </c>
      <c r="E81" s="239">
        <f>IF(E24=0,E79,E80)</f>
        <v>0.31179525306159145</v>
      </c>
      <c r="F81" s="44"/>
      <c r="G81" s="45"/>
      <c r="H81" s="46" t="s">
        <v>41</v>
      </c>
      <c r="I81" s="46"/>
      <c r="J81" s="291" t="s">
        <v>367</v>
      </c>
      <c r="K81" s="292"/>
      <c r="L81" s="292"/>
      <c r="M81" s="292"/>
      <c r="N81" s="292"/>
      <c r="O81" s="292"/>
      <c r="P81" s="293"/>
    </row>
    <row r="82" spans="1:25" x14ac:dyDescent="0.2">
      <c r="B82" s="17">
        <f t="shared" si="0"/>
        <v>13</v>
      </c>
      <c r="C82" s="240" t="s">
        <v>343</v>
      </c>
      <c r="D82" s="240" t="s">
        <v>563</v>
      </c>
      <c r="E82" s="239">
        <f>E68/E78*E77</f>
        <v>0.12719022903186139</v>
      </c>
      <c r="F82" s="44"/>
      <c r="G82" s="45"/>
      <c r="H82" s="46" t="s">
        <v>41</v>
      </c>
      <c r="I82" s="46"/>
      <c r="J82" s="291" t="s">
        <v>368</v>
      </c>
      <c r="K82" s="292"/>
      <c r="L82" s="292"/>
      <c r="M82" s="292"/>
      <c r="N82" s="292"/>
      <c r="O82" s="292"/>
      <c r="P82" s="293"/>
    </row>
    <row r="83" spans="1:25" x14ac:dyDescent="0.2">
      <c r="B83" s="17">
        <f t="shared" si="0"/>
        <v>13</v>
      </c>
      <c r="C83" s="240" t="s">
        <v>344</v>
      </c>
      <c r="D83" s="42" t="s">
        <v>345</v>
      </c>
      <c r="E83" s="239">
        <f>IF(E23=0,E82,E81)/E50</f>
        <v>0.10162691552481705</v>
      </c>
      <c r="F83" s="44"/>
      <c r="G83" s="45"/>
      <c r="H83" s="46" t="s">
        <v>41</v>
      </c>
      <c r="I83" s="46"/>
      <c r="J83" s="291" t="s">
        <v>569</v>
      </c>
      <c r="K83" s="292"/>
      <c r="L83" s="292"/>
      <c r="M83" s="292"/>
      <c r="N83" s="292"/>
      <c r="O83" s="292"/>
      <c r="P83" s="293"/>
    </row>
    <row r="84" spans="1:25" x14ac:dyDescent="0.2">
      <c r="B84" s="17">
        <f t="shared" si="0"/>
        <v>6</v>
      </c>
      <c r="C84" s="240" t="s">
        <v>489</v>
      </c>
      <c r="D84" s="41" t="s">
        <v>490</v>
      </c>
      <c r="E84" s="239">
        <f>IF($E$25=0,1,0)</f>
        <v>1</v>
      </c>
      <c r="F84" s="44"/>
      <c r="G84" s="45"/>
      <c r="H84" s="46" t="s">
        <v>41</v>
      </c>
      <c r="I84" s="46"/>
      <c r="J84" s="267" t="s">
        <v>572</v>
      </c>
      <c r="K84" s="251"/>
      <c r="L84" s="251"/>
      <c r="M84" s="251"/>
      <c r="N84" s="251"/>
      <c r="O84" s="251"/>
      <c r="P84" s="252"/>
    </row>
    <row r="85" spans="1:25" x14ac:dyDescent="0.2">
      <c r="B85" s="17">
        <f t="shared" si="0"/>
        <v>6</v>
      </c>
      <c r="C85" s="240" t="s">
        <v>491</v>
      </c>
      <c r="D85" s="41" t="s">
        <v>492</v>
      </c>
      <c r="E85" s="239">
        <f>IF($E$25=1,1,0)</f>
        <v>0</v>
      </c>
      <c r="F85" s="44"/>
      <c r="G85" s="45"/>
      <c r="H85" s="46" t="s">
        <v>41</v>
      </c>
      <c r="I85" s="46"/>
      <c r="J85" s="267" t="s">
        <v>573</v>
      </c>
      <c r="K85" s="251"/>
      <c r="L85" s="251"/>
      <c r="M85" s="251"/>
      <c r="N85" s="251"/>
      <c r="O85" s="251"/>
      <c r="P85" s="252"/>
    </row>
    <row r="86" spans="1:25" x14ac:dyDescent="0.2">
      <c r="B86" s="17">
        <f t="shared" si="0"/>
        <v>7</v>
      </c>
      <c r="C86" s="240" t="s">
        <v>493</v>
      </c>
      <c r="D86" s="41" t="s">
        <v>494</v>
      </c>
      <c r="E86" s="239">
        <f>IF($E$25=2,1,0)</f>
        <v>0</v>
      </c>
      <c r="F86" s="44"/>
      <c r="G86" s="45"/>
      <c r="H86" s="46" t="s">
        <v>41</v>
      </c>
      <c r="I86" s="46"/>
      <c r="J86" s="267" t="s">
        <v>574</v>
      </c>
      <c r="K86" s="251"/>
      <c r="L86" s="251"/>
      <c r="M86" s="251"/>
      <c r="N86" s="251"/>
      <c r="O86" s="251"/>
      <c r="P86" s="252"/>
    </row>
    <row r="87" spans="1:25" x14ac:dyDescent="0.2">
      <c r="B87" s="9"/>
      <c r="C87" s="47" t="s">
        <v>65</v>
      </c>
      <c r="D87" s="48" t="s">
        <v>66</v>
      </c>
      <c r="E87" s="49"/>
      <c r="F87" s="49"/>
      <c r="G87" s="49"/>
      <c r="H87" s="50"/>
      <c r="I87" s="51"/>
      <c r="J87" s="52"/>
      <c r="K87" s="52"/>
      <c r="L87" s="52"/>
      <c r="M87" s="52"/>
      <c r="N87" s="52"/>
      <c r="O87" s="52"/>
      <c r="P87" s="53"/>
    </row>
    <row r="88" spans="1:25" ht="13.5" thickBot="1" x14ac:dyDescent="0.25">
      <c r="B88" s="9"/>
      <c r="C88" s="2"/>
      <c r="D88" s="2"/>
      <c r="E88" s="2"/>
      <c r="F88" s="2"/>
      <c r="G88" s="2"/>
      <c r="H88" s="2"/>
      <c r="J88" s="2"/>
      <c r="K88" s="2"/>
      <c r="L88" s="2"/>
      <c r="M88" s="2"/>
      <c r="N88" s="2"/>
      <c r="O88" s="2"/>
      <c r="P88" s="2"/>
    </row>
    <row r="89" spans="1:25" s="29" customFormat="1" ht="13.5" thickBot="1" x14ac:dyDescent="0.25">
      <c r="A89" s="28"/>
      <c r="B89" s="302" t="s">
        <v>67</v>
      </c>
      <c r="C89" s="303"/>
      <c r="D89" s="303"/>
      <c r="E89" s="303"/>
      <c r="F89" s="303"/>
      <c r="G89" s="303"/>
      <c r="H89" s="303"/>
      <c r="I89" s="303"/>
      <c r="J89" s="303"/>
      <c r="K89" s="303"/>
      <c r="L89" s="303"/>
      <c r="M89" s="303"/>
      <c r="N89" s="303"/>
      <c r="O89" s="303"/>
      <c r="P89" s="304"/>
      <c r="Q89" s="28"/>
      <c r="R89" s="28"/>
      <c r="S89" s="28"/>
      <c r="T89" s="28"/>
      <c r="U89" s="28"/>
      <c r="V89" s="28"/>
      <c r="W89" s="28"/>
      <c r="X89" s="28"/>
      <c r="Y89" s="28"/>
    </row>
    <row r="90" spans="1:25" x14ac:dyDescent="0.2">
      <c r="B90" s="9"/>
      <c r="C90" s="2"/>
      <c r="D90" s="2"/>
      <c r="E90" s="2"/>
      <c r="F90" s="2"/>
      <c r="G90" s="2"/>
      <c r="H90" s="39" t="s">
        <v>68</v>
      </c>
      <c r="J90" s="2"/>
      <c r="K90" s="2"/>
      <c r="L90" s="2"/>
      <c r="M90" s="2"/>
      <c r="N90" s="2"/>
      <c r="O90" s="2"/>
      <c r="P90" s="2"/>
    </row>
    <row r="91" spans="1:25" x14ac:dyDescent="0.2">
      <c r="B91" s="9"/>
      <c r="C91" s="40" t="s">
        <v>69</v>
      </c>
      <c r="D91" s="40" t="s">
        <v>70</v>
      </c>
      <c r="E91" s="40" t="s">
        <v>59</v>
      </c>
      <c r="F91" s="40" t="s">
        <v>71</v>
      </c>
      <c r="G91" s="40" t="s">
        <v>69</v>
      </c>
      <c r="H91" s="40" t="s">
        <v>62</v>
      </c>
      <c r="I91" s="40" t="s">
        <v>72</v>
      </c>
      <c r="J91" s="40" t="s">
        <v>73</v>
      </c>
      <c r="K91" s="40" t="s">
        <v>74</v>
      </c>
      <c r="L91" s="40" t="s">
        <v>75</v>
      </c>
      <c r="M91" s="40" t="s">
        <v>63</v>
      </c>
      <c r="N91" s="312" t="s">
        <v>64</v>
      </c>
      <c r="O91" s="312"/>
      <c r="P91" s="312"/>
      <c r="X91" s="28"/>
      <c r="Y91" s="28"/>
    </row>
    <row r="92" spans="1:25" x14ac:dyDescent="0.2">
      <c r="B92" s="9"/>
      <c r="C92" s="240" t="s">
        <v>344</v>
      </c>
      <c r="D92" s="59" t="s">
        <v>381</v>
      </c>
      <c r="E92" s="54">
        <v>1</v>
      </c>
      <c r="F92" s="54" t="s">
        <v>41</v>
      </c>
      <c r="G92" s="55">
        <f>IF($C92="",1,VLOOKUP($C92,$C$22:$H$87,3,FALSE))</f>
        <v>0.10162691552481705</v>
      </c>
      <c r="H92" s="56" t="str">
        <f>IF($C92="","",VLOOKUP($C92,$C$22:$H$87,6,FALSE))</f>
        <v>kg</v>
      </c>
      <c r="I92" s="264">
        <f t="shared" ref="I92:I96" si="2">IF(D92="","",E92*G92*$D$5)</f>
        <v>0.10162691552481705</v>
      </c>
      <c r="J92" s="54" t="s">
        <v>41</v>
      </c>
      <c r="K92" s="57" t="s">
        <v>93</v>
      </c>
      <c r="L92" s="54"/>
      <c r="M92" s="58"/>
      <c r="N92" s="319" t="s">
        <v>386</v>
      </c>
      <c r="O92" s="319"/>
      <c r="P92" s="319"/>
      <c r="X92" s="28"/>
      <c r="Y92" s="28"/>
    </row>
    <row r="93" spans="1:25" x14ac:dyDescent="0.2">
      <c r="B93" s="9"/>
      <c r="C93" s="240" t="s">
        <v>361</v>
      </c>
      <c r="D93" s="59" t="s">
        <v>382</v>
      </c>
      <c r="E93" s="54">
        <v>1</v>
      </c>
      <c r="F93" s="54" t="s">
        <v>41</v>
      </c>
      <c r="G93" s="55">
        <f>IF($C93="",1,VLOOKUP($C93,$C$22:$H$87,3,FALSE))</f>
        <v>0.20098488462223524</v>
      </c>
      <c r="H93" s="56" t="str">
        <f>IF($C93="","",VLOOKUP($C93,$C$22:$H$87,6,FALSE))</f>
        <v>kg</v>
      </c>
      <c r="I93" s="264">
        <f t="shared" si="2"/>
        <v>0.20098488462223524</v>
      </c>
      <c r="J93" s="54" t="s">
        <v>41</v>
      </c>
      <c r="K93" s="57" t="s">
        <v>93</v>
      </c>
      <c r="L93" s="54"/>
      <c r="M93" s="58"/>
      <c r="N93" s="319" t="s">
        <v>387</v>
      </c>
      <c r="O93" s="319"/>
      <c r="P93" s="319"/>
      <c r="X93" s="28"/>
      <c r="Y93" s="28"/>
    </row>
    <row r="94" spans="1:25" x14ac:dyDescent="0.2">
      <c r="B94" s="9"/>
      <c r="C94" s="240" t="s">
        <v>363</v>
      </c>
      <c r="D94" s="61" t="s">
        <v>383</v>
      </c>
      <c r="E94" s="54">
        <v>1</v>
      </c>
      <c r="F94" s="54" t="s">
        <v>41</v>
      </c>
      <c r="G94" s="55">
        <f>IF($C94="",1,VLOOKUP($C94,$C$22:$H$87,3,FALSE))</f>
        <v>0</v>
      </c>
      <c r="H94" s="56" t="str">
        <f>IF($C94="","",VLOOKUP($C94,$C$22:$H$87,6,FALSE))</f>
        <v>kg</v>
      </c>
      <c r="I94" s="264">
        <f t="shared" si="2"/>
        <v>0</v>
      </c>
      <c r="J94" s="54" t="s">
        <v>41</v>
      </c>
      <c r="K94" s="57" t="s">
        <v>93</v>
      </c>
      <c r="L94" s="54"/>
      <c r="M94" s="58"/>
      <c r="N94" s="319" t="s">
        <v>388</v>
      </c>
      <c r="O94" s="319"/>
      <c r="P94" s="319"/>
      <c r="X94" s="28"/>
      <c r="Y94" s="28"/>
    </row>
    <row r="95" spans="1:25" x14ac:dyDescent="0.2">
      <c r="B95" s="9"/>
      <c r="C95" s="240" t="s">
        <v>365</v>
      </c>
      <c r="D95" s="59" t="s">
        <v>384</v>
      </c>
      <c r="E95" s="54">
        <v>1</v>
      </c>
      <c r="F95" s="54" t="s">
        <v>41</v>
      </c>
      <c r="G95" s="55">
        <f>IF($C95="",1,VLOOKUP($C95,$C$22:$H$87,3,FALSE))</f>
        <v>0</v>
      </c>
      <c r="H95" s="56" t="str">
        <f>IF($C95="","",VLOOKUP($C95,$C$22:$H$87,6,FALSE))</f>
        <v>kg</v>
      </c>
      <c r="I95" s="264">
        <f t="shared" si="2"/>
        <v>0</v>
      </c>
      <c r="J95" s="54" t="s">
        <v>41</v>
      </c>
      <c r="K95" s="57" t="s">
        <v>93</v>
      </c>
      <c r="L95" s="54"/>
      <c r="M95" s="58"/>
      <c r="N95" s="319" t="s">
        <v>389</v>
      </c>
      <c r="O95" s="319"/>
      <c r="P95" s="319"/>
      <c r="X95" s="28"/>
      <c r="Y95" s="28"/>
    </row>
    <row r="96" spans="1:25" x14ac:dyDescent="0.2">
      <c r="B96" s="9"/>
      <c r="C96" s="60" t="s">
        <v>487</v>
      </c>
      <c r="D96" s="66" t="s">
        <v>385</v>
      </c>
      <c r="E96" s="54">
        <v>1</v>
      </c>
      <c r="F96" s="54" t="s">
        <v>324</v>
      </c>
      <c r="G96" s="55">
        <f>IF($C96="",1,VLOOKUP($C96,$C$22:$H$87,3,FALSE))</f>
        <v>5.9098751137408629E-5</v>
      </c>
      <c r="H96" s="56" t="str">
        <f>IF($C96="","",VLOOKUP($C96,$C$22:$H$87,6,FALSE))</f>
        <v>MWh</v>
      </c>
      <c r="I96" s="264">
        <f t="shared" si="2"/>
        <v>5.9098751137408629E-5</v>
      </c>
      <c r="J96" s="54" t="s">
        <v>324</v>
      </c>
      <c r="K96" s="57" t="s">
        <v>93</v>
      </c>
      <c r="L96" s="54"/>
      <c r="M96" s="58"/>
      <c r="N96" s="319" t="s">
        <v>390</v>
      </c>
      <c r="O96" s="319"/>
      <c r="P96" s="319"/>
      <c r="X96" s="28"/>
      <c r="Y96" s="28"/>
    </row>
    <row r="97" spans="1:25" x14ac:dyDescent="0.2">
      <c r="B97" s="9"/>
      <c r="C97" s="62" t="s">
        <v>65</v>
      </c>
      <c r="D97" s="48" t="s">
        <v>66</v>
      </c>
      <c r="E97" s="63" t="s">
        <v>76</v>
      </c>
      <c r="F97" s="48"/>
      <c r="G97" s="48"/>
      <c r="H97" s="48"/>
      <c r="I97" s="63" t="s">
        <v>77</v>
      </c>
      <c r="J97" s="48"/>
      <c r="K97" s="63"/>
      <c r="L97" s="48" t="s">
        <v>78</v>
      </c>
      <c r="M97" s="64"/>
      <c r="N97" s="320"/>
      <c r="O97" s="320"/>
      <c r="P97" s="320"/>
      <c r="X97" s="28"/>
      <c r="Y97" s="28"/>
    </row>
    <row r="98" spans="1:25" s="2" customFormat="1" ht="13.5" thickBot="1" x14ac:dyDescent="0.25">
      <c r="B98" s="9"/>
      <c r="X98" s="28"/>
      <c r="Y98" s="28"/>
    </row>
    <row r="99" spans="1:25" s="29" customFormat="1" ht="13.5" thickBot="1" x14ac:dyDescent="0.25">
      <c r="A99" s="28"/>
      <c r="B99" s="302" t="s">
        <v>79</v>
      </c>
      <c r="C99" s="303"/>
      <c r="D99" s="303"/>
      <c r="E99" s="303"/>
      <c r="F99" s="303"/>
      <c r="G99" s="303"/>
      <c r="H99" s="303"/>
      <c r="I99" s="303"/>
      <c r="J99" s="303"/>
      <c r="K99" s="303"/>
      <c r="L99" s="303"/>
      <c r="M99" s="303"/>
      <c r="N99" s="303"/>
      <c r="O99" s="303"/>
      <c r="P99" s="304"/>
      <c r="Q99" s="28"/>
      <c r="R99" s="28"/>
      <c r="S99" s="28"/>
      <c r="T99" s="28"/>
      <c r="U99" s="28"/>
      <c r="V99" s="28"/>
      <c r="W99" s="28"/>
      <c r="X99" s="28"/>
      <c r="Y99" s="28"/>
    </row>
    <row r="100" spans="1:25" x14ac:dyDescent="0.2">
      <c r="B100" s="9"/>
      <c r="C100" s="2"/>
      <c r="D100" s="2"/>
      <c r="E100" s="2"/>
      <c r="F100" s="2"/>
      <c r="G100" s="2"/>
      <c r="H100" s="39" t="s">
        <v>80</v>
      </c>
      <c r="J100" s="2"/>
      <c r="K100" s="2"/>
      <c r="L100" s="2"/>
      <c r="M100" s="2"/>
      <c r="N100" s="2"/>
      <c r="O100" s="2"/>
      <c r="P100" s="2"/>
      <c r="X100" s="28"/>
      <c r="Y100" s="28"/>
    </row>
    <row r="101" spans="1:25" x14ac:dyDescent="0.2">
      <c r="B101" s="9"/>
      <c r="C101" s="40" t="s">
        <v>69</v>
      </c>
      <c r="D101" s="40" t="s">
        <v>70</v>
      </c>
      <c r="E101" s="40" t="s">
        <v>59</v>
      </c>
      <c r="F101" s="40" t="s">
        <v>71</v>
      </c>
      <c r="G101" s="40" t="s">
        <v>69</v>
      </c>
      <c r="H101" s="40" t="s">
        <v>62</v>
      </c>
      <c r="I101" s="40" t="s">
        <v>72</v>
      </c>
      <c r="J101" s="40" t="s">
        <v>73</v>
      </c>
      <c r="K101" s="40" t="s">
        <v>74</v>
      </c>
      <c r="L101" s="40" t="s">
        <v>75</v>
      </c>
      <c r="M101" s="40" t="s">
        <v>63</v>
      </c>
      <c r="N101" s="312" t="s">
        <v>64</v>
      </c>
      <c r="O101" s="312"/>
      <c r="P101" s="312"/>
      <c r="X101" s="28"/>
      <c r="Y101" s="28"/>
    </row>
    <row r="102" spans="1:25" x14ac:dyDescent="0.2">
      <c r="B102" s="9"/>
      <c r="C102" s="65" t="s">
        <v>493</v>
      </c>
      <c r="D102" s="66" t="s">
        <v>495</v>
      </c>
      <c r="E102" s="67">
        <v>1</v>
      </c>
      <c r="F102" s="67" t="s">
        <v>41</v>
      </c>
      <c r="G102" s="55">
        <f t="shared" ref="G102:G107" si="3">IF($C102="",1,VLOOKUP($C102,$C$22:$H$87,3,FALSE))</f>
        <v>0</v>
      </c>
      <c r="H102" s="56" t="str">
        <f t="shared" ref="H102:H107" si="4">IF($C102="","",VLOOKUP($C102,$C$22:$H$87,6,FALSE))</f>
        <v>kg</v>
      </c>
      <c r="I102" s="264">
        <f>IF(D102="","",E102*G102*$D$5)</f>
        <v>0</v>
      </c>
      <c r="J102" s="67" t="s">
        <v>41</v>
      </c>
      <c r="K102" s="57" t="s">
        <v>93</v>
      </c>
      <c r="L102" s="54"/>
      <c r="M102" s="68"/>
      <c r="N102" s="321" t="s">
        <v>81</v>
      </c>
      <c r="O102" s="321"/>
      <c r="P102" s="321"/>
      <c r="X102" s="28"/>
      <c r="Y102" s="28"/>
    </row>
    <row r="103" spans="1:25" x14ac:dyDescent="0.2">
      <c r="B103" s="9"/>
      <c r="C103" s="65" t="s">
        <v>489</v>
      </c>
      <c r="D103" s="66" t="s">
        <v>485</v>
      </c>
      <c r="E103" s="67">
        <v>1</v>
      </c>
      <c r="F103" s="67" t="s">
        <v>41</v>
      </c>
      <c r="G103" s="55">
        <f t="shared" si="3"/>
        <v>1</v>
      </c>
      <c r="H103" s="56" t="str">
        <f t="shared" si="4"/>
        <v>kg</v>
      </c>
      <c r="I103" s="264">
        <f t="shared" ref="I103:I104" si="5">IF(D103="","",E103*G103*$D$5)</f>
        <v>1</v>
      </c>
      <c r="J103" s="67" t="s">
        <v>41</v>
      </c>
      <c r="K103" s="57" t="s">
        <v>93</v>
      </c>
      <c r="L103" s="54"/>
      <c r="M103" s="68"/>
      <c r="N103" s="321" t="s">
        <v>81</v>
      </c>
      <c r="O103" s="321"/>
      <c r="P103" s="321"/>
      <c r="X103" s="28"/>
      <c r="Y103" s="28"/>
    </row>
    <row r="104" spans="1:25" x14ac:dyDescent="0.2">
      <c r="B104" s="9"/>
      <c r="C104" s="65" t="s">
        <v>491</v>
      </c>
      <c r="D104" s="66" t="s">
        <v>486</v>
      </c>
      <c r="E104" s="67">
        <v>1</v>
      </c>
      <c r="F104" s="67" t="s">
        <v>41</v>
      </c>
      <c r="G104" s="55">
        <f t="shared" si="3"/>
        <v>0</v>
      </c>
      <c r="H104" s="56" t="str">
        <f t="shared" si="4"/>
        <v>kg</v>
      </c>
      <c r="I104" s="264">
        <f t="shared" si="5"/>
        <v>0</v>
      </c>
      <c r="J104" s="67" t="s">
        <v>41</v>
      </c>
      <c r="K104" s="57" t="s">
        <v>93</v>
      </c>
      <c r="L104" s="54"/>
      <c r="M104" s="68"/>
      <c r="N104" s="321" t="s">
        <v>81</v>
      </c>
      <c r="O104" s="321"/>
      <c r="P104" s="321"/>
      <c r="X104" s="28"/>
      <c r="Y104" s="28"/>
    </row>
    <row r="105" spans="1:25" x14ac:dyDescent="0.2">
      <c r="B105" s="9"/>
      <c r="C105" s="60" t="s">
        <v>496</v>
      </c>
      <c r="D105" s="66" t="s">
        <v>385</v>
      </c>
      <c r="E105" s="67">
        <v>1</v>
      </c>
      <c r="F105" s="67" t="s">
        <v>324</v>
      </c>
      <c r="G105" s="55">
        <f t="shared" si="3"/>
        <v>0</v>
      </c>
      <c r="H105" s="56" t="str">
        <f t="shared" si="4"/>
        <v>MWh</v>
      </c>
      <c r="I105" s="264">
        <f t="shared" ref="I105:I107" si="6">IF(D105="","",E105*G105*$D$5)</f>
        <v>0</v>
      </c>
      <c r="J105" s="67" t="s">
        <v>324</v>
      </c>
      <c r="K105" s="57" t="s">
        <v>93</v>
      </c>
      <c r="L105" s="54"/>
      <c r="M105" s="58"/>
      <c r="N105" s="322" t="s">
        <v>503</v>
      </c>
      <c r="O105" s="323"/>
      <c r="P105" s="324"/>
      <c r="X105" s="28"/>
      <c r="Y105" s="28"/>
    </row>
    <row r="106" spans="1:25" x14ac:dyDescent="0.2">
      <c r="B106" s="9"/>
      <c r="C106" s="240" t="s">
        <v>497</v>
      </c>
      <c r="D106" s="69" t="s">
        <v>82</v>
      </c>
      <c r="E106" s="67">
        <v>1</v>
      </c>
      <c r="F106" s="67" t="s">
        <v>41</v>
      </c>
      <c r="G106" s="55">
        <f t="shared" si="3"/>
        <v>1.5759666969975637E-4</v>
      </c>
      <c r="H106" s="56" t="str">
        <f t="shared" si="4"/>
        <v>kg</v>
      </c>
      <c r="I106" s="264">
        <f t="shared" si="6"/>
        <v>1.5759666969975637E-4</v>
      </c>
      <c r="J106" s="67" t="s">
        <v>41</v>
      </c>
      <c r="K106" s="57"/>
      <c r="L106" s="54"/>
      <c r="M106" s="58"/>
      <c r="N106" s="321" t="s">
        <v>83</v>
      </c>
      <c r="O106" s="321"/>
      <c r="P106" s="321"/>
      <c r="X106" s="28"/>
      <c r="Y106" s="28"/>
    </row>
    <row r="107" spans="1:25" x14ac:dyDescent="0.2">
      <c r="B107" s="9"/>
      <c r="C107" s="240" t="s">
        <v>498</v>
      </c>
      <c r="D107" s="69" t="s">
        <v>84</v>
      </c>
      <c r="E107" s="67">
        <v>1</v>
      </c>
      <c r="F107" s="67" t="s">
        <v>41</v>
      </c>
      <c r="G107" s="55">
        <f t="shared" si="3"/>
        <v>1.5759666969975637E-5</v>
      </c>
      <c r="H107" s="56" t="str">
        <f t="shared" si="4"/>
        <v>kg</v>
      </c>
      <c r="I107" s="264">
        <f t="shared" si="6"/>
        <v>1.5759666969975637E-5</v>
      </c>
      <c r="J107" s="67" t="s">
        <v>41</v>
      </c>
      <c r="K107" s="57"/>
      <c r="L107" s="54"/>
      <c r="M107" s="58"/>
      <c r="N107" s="321" t="s">
        <v>83</v>
      </c>
      <c r="O107" s="321"/>
      <c r="P107" s="321"/>
      <c r="X107" s="28"/>
      <c r="Y107" s="28"/>
    </row>
    <row r="108" spans="1:25" x14ac:dyDescent="0.2">
      <c r="B108" s="9"/>
      <c r="C108" s="62" t="s">
        <v>65</v>
      </c>
      <c r="D108" s="70" t="s">
        <v>66</v>
      </c>
      <c r="E108" s="63" t="s">
        <v>76</v>
      </c>
      <c r="F108" s="48"/>
      <c r="G108" s="71"/>
      <c r="H108" s="72"/>
      <c r="I108" s="72"/>
      <c r="J108" s="48"/>
      <c r="K108" s="63"/>
      <c r="L108" s="48" t="s">
        <v>78</v>
      </c>
      <c r="M108" s="64"/>
      <c r="N108" s="320"/>
      <c r="O108" s="320"/>
      <c r="P108" s="320"/>
      <c r="X108" s="28"/>
      <c r="Y108" s="28"/>
    </row>
    <row r="109" spans="1:25" x14ac:dyDescent="0.2">
      <c r="B109" s="9"/>
      <c r="C109" s="2"/>
      <c r="D109" s="2"/>
      <c r="E109" s="2"/>
      <c r="F109" s="2"/>
      <c r="G109" s="2"/>
      <c r="H109" s="2"/>
      <c r="J109" s="2"/>
      <c r="K109" s="2"/>
      <c r="L109" s="2"/>
      <c r="M109" s="2"/>
      <c r="N109" s="2"/>
      <c r="O109" s="2"/>
      <c r="P109" s="2"/>
      <c r="X109" s="28"/>
      <c r="Y109" s="28"/>
    </row>
    <row r="110" spans="1:25" x14ac:dyDescent="0.2">
      <c r="B110" s="9"/>
      <c r="C110" s="2"/>
      <c r="D110" s="2"/>
      <c r="E110" s="2"/>
      <c r="F110" s="2"/>
      <c r="G110" s="2"/>
      <c r="H110" s="2"/>
      <c r="J110" s="2"/>
      <c r="K110" s="2"/>
      <c r="L110" s="2"/>
      <c r="M110" s="2"/>
      <c r="N110" s="2"/>
      <c r="O110" s="2"/>
      <c r="P110" s="2"/>
    </row>
    <row r="111" spans="1:25" x14ac:dyDescent="0.2">
      <c r="B111" s="9"/>
      <c r="C111" s="2"/>
      <c r="D111" s="2"/>
      <c r="E111" s="2"/>
      <c r="F111" s="2"/>
      <c r="G111" s="2"/>
      <c r="H111" s="2"/>
      <c r="J111" s="2"/>
      <c r="K111" s="2"/>
      <c r="L111" s="2"/>
      <c r="M111" s="2"/>
      <c r="N111" s="2"/>
      <c r="O111" s="2"/>
      <c r="P111" s="2"/>
    </row>
    <row r="112" spans="1:25" x14ac:dyDescent="0.2">
      <c r="B112" s="9"/>
      <c r="C112" s="2"/>
      <c r="D112" s="2"/>
      <c r="E112" s="2"/>
      <c r="F112" s="2"/>
      <c r="G112" s="2"/>
      <c r="H112" s="2"/>
      <c r="J112" s="2"/>
      <c r="K112" s="2"/>
      <c r="L112" s="2"/>
      <c r="M112" s="2"/>
      <c r="N112" s="2"/>
      <c r="O112" s="2"/>
      <c r="P112" s="2"/>
    </row>
    <row r="113" spans="2:16" x14ac:dyDescent="0.2">
      <c r="B113" s="9"/>
      <c r="C113" s="2"/>
      <c r="D113" s="2"/>
      <c r="E113" s="2"/>
      <c r="F113" s="2"/>
      <c r="G113" s="2"/>
      <c r="H113" s="2"/>
      <c r="J113" s="2"/>
      <c r="K113" s="2"/>
      <c r="L113" s="2"/>
      <c r="M113" s="2"/>
      <c r="N113" s="2"/>
      <c r="O113" s="2"/>
      <c r="P113" s="2"/>
    </row>
    <row r="114" spans="2:16" x14ac:dyDescent="0.2">
      <c r="B114" s="9"/>
      <c r="C114" s="2"/>
      <c r="D114" s="2"/>
      <c r="E114" s="2"/>
      <c r="F114" s="2"/>
      <c r="G114" s="2"/>
      <c r="H114" s="2"/>
      <c r="J114" s="2"/>
      <c r="K114" s="2"/>
      <c r="L114" s="2"/>
      <c r="M114" s="2"/>
      <c r="N114" s="2"/>
      <c r="O114" s="2"/>
      <c r="P114" s="2"/>
    </row>
    <row r="115" spans="2:16" x14ac:dyDescent="0.2">
      <c r="B115" s="9"/>
      <c r="C115" s="2"/>
      <c r="D115" s="2"/>
      <c r="E115" s="2"/>
      <c r="F115" s="2"/>
      <c r="G115" s="2"/>
      <c r="H115" s="2"/>
      <c r="J115" s="2"/>
      <c r="K115" s="2"/>
      <c r="L115" s="2"/>
      <c r="M115" s="2"/>
      <c r="N115" s="2"/>
      <c r="O115" s="2"/>
      <c r="P115" s="2"/>
    </row>
    <row r="116" spans="2:16" x14ac:dyDescent="0.2">
      <c r="B116" s="9"/>
      <c r="C116" s="2"/>
      <c r="D116" s="2"/>
      <c r="E116" s="2"/>
      <c r="F116" s="2"/>
      <c r="G116" s="2"/>
      <c r="H116" s="2"/>
      <c r="J116" s="2"/>
      <c r="K116" s="2"/>
      <c r="L116" s="2"/>
      <c r="M116" s="2"/>
      <c r="N116" s="2"/>
      <c r="O116" s="2"/>
      <c r="P116" s="2"/>
    </row>
    <row r="117" spans="2:16" x14ac:dyDescent="0.2">
      <c r="B117" s="9"/>
      <c r="C117" s="2"/>
      <c r="D117" s="2"/>
      <c r="E117" s="2"/>
      <c r="F117" s="2"/>
      <c r="G117" s="2"/>
      <c r="H117" s="2"/>
      <c r="J117" s="2"/>
      <c r="K117" s="2"/>
      <c r="L117" s="2"/>
      <c r="M117" s="2"/>
      <c r="N117" s="2"/>
      <c r="O117" s="2"/>
      <c r="P117" s="2"/>
    </row>
    <row r="118" spans="2:16" x14ac:dyDescent="0.2">
      <c r="B118" s="9"/>
      <c r="C118" s="2"/>
      <c r="D118" s="2"/>
      <c r="E118" s="2"/>
      <c r="F118" s="2"/>
      <c r="G118" s="2"/>
      <c r="H118" s="2"/>
      <c r="J118" s="2"/>
      <c r="K118" s="2"/>
      <c r="L118" s="2"/>
      <c r="M118" s="2"/>
      <c r="N118" s="2"/>
      <c r="O118" s="2"/>
      <c r="P118" s="2"/>
    </row>
    <row r="119" spans="2:16" x14ac:dyDescent="0.2">
      <c r="B119" s="9"/>
      <c r="C119" s="2"/>
      <c r="D119" s="2"/>
      <c r="E119" s="2"/>
      <c r="F119" s="2"/>
      <c r="G119" s="2"/>
      <c r="H119" s="2"/>
      <c r="J119" s="2"/>
      <c r="K119" s="2"/>
      <c r="L119" s="2"/>
      <c r="M119" s="2"/>
      <c r="N119" s="2"/>
      <c r="O119" s="2"/>
      <c r="P119" s="2"/>
    </row>
    <row r="120" spans="2:16" x14ac:dyDescent="0.2">
      <c r="B120" s="9"/>
      <c r="C120" s="2"/>
      <c r="D120" s="2"/>
      <c r="E120" s="2"/>
      <c r="F120" s="2"/>
      <c r="G120" s="2"/>
      <c r="H120" s="2"/>
      <c r="J120" s="2"/>
      <c r="K120" s="2"/>
      <c r="L120" s="2"/>
      <c r="M120" s="2"/>
      <c r="N120" s="2"/>
      <c r="O120" s="2"/>
      <c r="P120" s="2"/>
    </row>
    <row r="121" spans="2:16" x14ac:dyDescent="0.2">
      <c r="B121" s="9"/>
      <c r="C121" s="2"/>
      <c r="D121" s="2"/>
      <c r="E121" s="2"/>
      <c r="F121" s="2"/>
      <c r="G121" s="2"/>
      <c r="H121" s="2"/>
      <c r="J121" s="2"/>
      <c r="K121" s="2"/>
      <c r="L121" s="2"/>
      <c r="M121" s="2"/>
      <c r="N121" s="2"/>
      <c r="O121" s="2"/>
      <c r="P121" s="2"/>
    </row>
    <row r="122" spans="2:16" x14ac:dyDescent="0.2">
      <c r="B122" s="9"/>
      <c r="C122" s="2"/>
      <c r="D122" s="2"/>
      <c r="E122" s="2"/>
      <c r="F122" s="2"/>
      <c r="G122" s="2"/>
      <c r="H122" s="2"/>
      <c r="J122" s="2"/>
      <c r="K122" s="2"/>
      <c r="L122" s="2"/>
      <c r="M122" s="2"/>
      <c r="N122" s="2"/>
      <c r="O122" s="2"/>
      <c r="P122" s="2"/>
    </row>
    <row r="123" spans="2:16" x14ac:dyDescent="0.2">
      <c r="B123" s="9"/>
      <c r="C123" s="2"/>
      <c r="D123" s="2"/>
      <c r="E123" s="2"/>
      <c r="F123" s="2"/>
      <c r="G123" s="2"/>
      <c r="H123" s="2"/>
      <c r="J123" s="2"/>
      <c r="K123" s="2"/>
      <c r="L123" s="2"/>
      <c r="M123" s="2"/>
      <c r="N123" s="2"/>
      <c r="O123" s="2"/>
      <c r="P123" s="2"/>
    </row>
    <row r="124" spans="2:16" x14ac:dyDescent="0.2">
      <c r="B124" s="9"/>
      <c r="C124" s="2"/>
      <c r="D124" s="2"/>
      <c r="E124" s="2"/>
      <c r="F124" s="2"/>
      <c r="G124" s="2"/>
      <c r="H124" s="2"/>
      <c r="J124" s="2"/>
      <c r="K124" s="2"/>
      <c r="L124" s="2"/>
      <c r="M124" s="2"/>
      <c r="N124" s="2"/>
      <c r="O124" s="2"/>
      <c r="P124" s="2"/>
    </row>
    <row r="125" spans="2:16" x14ac:dyDescent="0.2">
      <c r="B125" s="9"/>
      <c r="C125" s="2"/>
      <c r="D125" s="2"/>
      <c r="E125" s="2"/>
      <c r="F125" s="2"/>
      <c r="G125" s="2"/>
      <c r="H125" s="2"/>
      <c r="J125" s="2"/>
      <c r="K125" s="2"/>
      <c r="L125" s="2"/>
      <c r="M125" s="2"/>
      <c r="N125" s="2"/>
      <c r="O125" s="2"/>
      <c r="P125" s="2"/>
    </row>
    <row r="126" spans="2:16" x14ac:dyDescent="0.2">
      <c r="B126" s="9"/>
      <c r="C126" s="2"/>
      <c r="D126" s="2"/>
      <c r="E126" s="2"/>
      <c r="F126" s="2"/>
      <c r="G126" s="2"/>
      <c r="H126" s="2"/>
      <c r="J126" s="2"/>
      <c r="K126" s="2"/>
      <c r="L126" s="2"/>
      <c r="M126" s="2"/>
      <c r="N126" s="2"/>
      <c r="O126" s="2"/>
      <c r="P126" s="2"/>
    </row>
    <row r="127" spans="2:16" x14ac:dyDescent="0.2">
      <c r="B127" s="9"/>
      <c r="C127" s="2"/>
      <c r="D127" s="2"/>
      <c r="E127" s="2"/>
      <c r="F127" s="2"/>
      <c r="G127" s="2"/>
      <c r="H127" s="2"/>
      <c r="J127" s="2"/>
      <c r="K127" s="2"/>
      <c r="L127" s="2"/>
      <c r="M127" s="2"/>
      <c r="N127" s="2"/>
      <c r="O127" s="2"/>
      <c r="P127" s="2"/>
    </row>
    <row r="128" spans="2:16" x14ac:dyDescent="0.2">
      <c r="B128" s="9"/>
      <c r="C128" s="2"/>
      <c r="D128" s="2"/>
      <c r="E128" s="2"/>
      <c r="F128" s="2"/>
      <c r="G128" s="2"/>
      <c r="H128" s="2"/>
      <c r="J128" s="2"/>
      <c r="K128" s="2"/>
      <c r="L128" s="2"/>
      <c r="M128" s="2"/>
      <c r="N128" s="2"/>
      <c r="O128" s="2"/>
      <c r="P128" s="2"/>
    </row>
    <row r="129" spans="2:16" x14ac:dyDescent="0.2">
      <c r="B129" s="9"/>
      <c r="C129" s="2"/>
      <c r="D129" s="2"/>
      <c r="E129" s="2"/>
      <c r="F129" s="2"/>
      <c r="G129" s="2"/>
      <c r="H129" s="2"/>
      <c r="J129" s="2"/>
      <c r="K129" s="2"/>
      <c r="L129" s="2"/>
      <c r="M129" s="2"/>
      <c r="N129" s="2"/>
      <c r="O129" s="2"/>
      <c r="P129" s="2"/>
    </row>
    <row r="130" spans="2:16" x14ac:dyDescent="0.2">
      <c r="B130" s="9"/>
      <c r="C130" s="2"/>
      <c r="D130" s="2"/>
      <c r="E130" s="2"/>
      <c r="F130" s="2"/>
      <c r="G130" s="2"/>
      <c r="H130" s="2"/>
      <c r="J130" s="2"/>
      <c r="K130" s="2"/>
      <c r="L130" s="2"/>
      <c r="M130" s="2"/>
      <c r="N130" s="2"/>
      <c r="O130" s="2"/>
      <c r="P130" s="2"/>
    </row>
    <row r="131" spans="2:16" x14ac:dyDescent="0.2">
      <c r="B131" s="9"/>
      <c r="C131" s="2"/>
      <c r="D131" s="2"/>
      <c r="E131" s="2"/>
      <c r="F131" s="2"/>
      <c r="G131" s="2"/>
      <c r="H131" s="2"/>
      <c r="J131" s="2"/>
      <c r="K131" s="2"/>
      <c r="L131" s="2"/>
      <c r="M131" s="2"/>
      <c r="N131" s="2"/>
      <c r="O131" s="2"/>
      <c r="P131" s="2"/>
    </row>
    <row r="132" spans="2:16" x14ac:dyDescent="0.2">
      <c r="B132" s="9"/>
      <c r="C132" s="2"/>
      <c r="D132" s="2"/>
      <c r="E132" s="2"/>
      <c r="F132" s="2"/>
      <c r="G132" s="2"/>
      <c r="H132" s="2"/>
      <c r="J132" s="2"/>
      <c r="K132" s="2"/>
      <c r="L132" s="2"/>
      <c r="M132" s="2"/>
      <c r="N132" s="2"/>
      <c r="O132" s="2"/>
      <c r="P132" s="2"/>
    </row>
    <row r="133" spans="2:16" x14ac:dyDescent="0.2">
      <c r="B133" s="9"/>
      <c r="C133" s="2"/>
      <c r="D133" s="2"/>
      <c r="E133" s="2"/>
      <c r="F133" s="2"/>
      <c r="G133" s="2"/>
      <c r="H133" s="2"/>
      <c r="J133" s="2"/>
      <c r="K133" s="2"/>
      <c r="L133" s="2"/>
      <c r="M133" s="2"/>
      <c r="N133" s="2"/>
      <c r="O133" s="2"/>
      <c r="P133" s="2"/>
    </row>
    <row r="134" spans="2:16" x14ac:dyDescent="0.2">
      <c r="B134" s="9"/>
      <c r="C134" s="2"/>
      <c r="D134" s="2"/>
      <c r="E134" s="2"/>
      <c r="F134" s="2"/>
      <c r="G134" s="2"/>
      <c r="H134" s="2"/>
      <c r="J134" s="2"/>
      <c r="K134" s="2"/>
      <c r="L134" s="2"/>
      <c r="M134" s="2"/>
      <c r="N134" s="2"/>
      <c r="O134" s="2"/>
      <c r="P134" s="2"/>
    </row>
    <row r="135" spans="2:16" x14ac:dyDescent="0.2">
      <c r="B135" s="9"/>
      <c r="C135" s="2"/>
      <c r="D135" s="2"/>
      <c r="E135" s="2"/>
      <c r="F135" s="2"/>
      <c r="G135" s="2"/>
      <c r="H135" s="2"/>
      <c r="J135" s="2"/>
      <c r="K135" s="2"/>
      <c r="L135" s="2"/>
      <c r="M135" s="2"/>
      <c r="N135" s="2"/>
      <c r="O135" s="2"/>
      <c r="P135" s="2"/>
    </row>
    <row r="136" spans="2:16" x14ac:dyDescent="0.2">
      <c r="B136" s="9"/>
      <c r="C136" s="2"/>
      <c r="D136" s="2"/>
      <c r="E136" s="2"/>
      <c r="F136" s="2"/>
      <c r="G136" s="2"/>
      <c r="H136" s="2"/>
      <c r="J136" s="2"/>
      <c r="K136" s="2"/>
      <c r="L136" s="2"/>
      <c r="M136" s="2"/>
      <c r="N136" s="2"/>
      <c r="O136" s="2"/>
      <c r="P136" s="2"/>
    </row>
    <row r="137" spans="2:16" x14ac:dyDescent="0.2">
      <c r="B137" s="9"/>
      <c r="C137" s="2"/>
      <c r="D137" s="2"/>
      <c r="E137" s="2"/>
      <c r="F137" s="2"/>
      <c r="G137" s="2"/>
      <c r="H137" s="2"/>
      <c r="J137" s="2"/>
      <c r="K137" s="2"/>
      <c r="L137" s="2"/>
      <c r="M137" s="2"/>
      <c r="N137" s="2"/>
      <c r="O137" s="2"/>
      <c r="P137" s="2"/>
    </row>
    <row r="138" spans="2:16" x14ac:dyDescent="0.2">
      <c r="B138" s="9"/>
      <c r="C138" s="2"/>
      <c r="D138" s="2"/>
      <c r="E138" s="2"/>
      <c r="F138" s="2"/>
      <c r="G138" s="2"/>
      <c r="H138" s="2"/>
      <c r="J138" s="2"/>
      <c r="K138" s="2"/>
      <c r="L138" s="2"/>
      <c r="M138" s="2"/>
      <c r="N138" s="2"/>
      <c r="O138" s="2"/>
      <c r="P138" s="2"/>
    </row>
    <row r="139" spans="2:16" x14ac:dyDescent="0.2">
      <c r="B139" s="9"/>
      <c r="C139" s="2"/>
      <c r="D139" s="2"/>
      <c r="E139" s="2"/>
      <c r="F139" s="2"/>
      <c r="G139" s="2"/>
      <c r="H139" s="2"/>
      <c r="J139" s="2"/>
      <c r="K139" s="2"/>
      <c r="L139" s="2"/>
      <c r="M139" s="2"/>
      <c r="N139" s="2"/>
      <c r="O139" s="2"/>
      <c r="P139" s="2"/>
    </row>
    <row r="140" spans="2:16" x14ac:dyDescent="0.2">
      <c r="B140" s="9"/>
      <c r="C140" s="2"/>
      <c r="D140" s="2"/>
      <c r="E140" s="2"/>
      <c r="F140" s="2"/>
      <c r="G140" s="2"/>
      <c r="H140" s="2"/>
      <c r="J140" s="2"/>
      <c r="K140" s="2"/>
      <c r="L140" s="2"/>
      <c r="M140" s="2"/>
      <c r="N140" s="2"/>
      <c r="O140" s="2"/>
      <c r="P140" s="2"/>
    </row>
    <row r="141" spans="2:16" x14ac:dyDescent="0.2">
      <c r="B141" s="9"/>
      <c r="C141" s="2"/>
      <c r="D141" s="2"/>
      <c r="E141" s="2"/>
      <c r="F141" s="2"/>
      <c r="G141" s="2"/>
      <c r="H141" s="2"/>
      <c r="J141" s="2"/>
      <c r="K141" s="2"/>
      <c r="L141" s="2"/>
      <c r="M141" s="2"/>
      <c r="N141" s="2"/>
      <c r="O141" s="2"/>
      <c r="P141" s="2"/>
    </row>
    <row r="142" spans="2:16" x14ac:dyDescent="0.2">
      <c r="B142" s="9"/>
      <c r="C142" s="2"/>
      <c r="D142" s="2"/>
      <c r="E142" s="2"/>
      <c r="F142" s="2"/>
      <c r="G142" s="2"/>
      <c r="H142" s="2"/>
      <c r="J142" s="2"/>
      <c r="K142" s="2"/>
      <c r="L142" s="2"/>
      <c r="M142" s="2"/>
      <c r="N142" s="2"/>
      <c r="O142" s="2"/>
      <c r="P142" s="2"/>
    </row>
    <row r="143" spans="2:16" x14ac:dyDescent="0.2">
      <c r="B143" s="9"/>
      <c r="C143" s="2"/>
      <c r="D143" s="2"/>
      <c r="E143" s="2"/>
      <c r="F143" s="2"/>
      <c r="G143" s="2"/>
      <c r="H143" s="2"/>
      <c r="J143" s="2"/>
      <c r="K143" s="2"/>
      <c r="L143" s="2"/>
      <c r="M143" s="2"/>
      <c r="N143" s="2"/>
      <c r="O143" s="2"/>
      <c r="P143" s="2"/>
    </row>
    <row r="144" spans="2:16" x14ac:dyDescent="0.2">
      <c r="B144" s="9"/>
      <c r="C144" s="2"/>
      <c r="D144" s="2"/>
      <c r="E144" s="2"/>
      <c r="F144" s="2"/>
      <c r="G144" s="2"/>
      <c r="H144" s="2"/>
      <c r="J144" s="2"/>
      <c r="K144" s="2"/>
      <c r="L144" s="2"/>
      <c r="M144" s="2"/>
      <c r="N144" s="2"/>
      <c r="O144" s="2"/>
      <c r="P144" s="2"/>
    </row>
    <row r="145" spans="2:16" x14ac:dyDescent="0.2">
      <c r="B145" s="9"/>
      <c r="C145" s="2"/>
      <c r="D145" s="2"/>
      <c r="E145" s="2"/>
      <c r="F145" s="2"/>
      <c r="G145" s="2"/>
      <c r="H145" s="2"/>
      <c r="J145" s="2"/>
      <c r="K145" s="2"/>
      <c r="L145" s="2"/>
      <c r="M145" s="2"/>
      <c r="N145" s="2"/>
      <c r="O145" s="2"/>
      <c r="P145" s="2"/>
    </row>
    <row r="146" spans="2:16" x14ac:dyDescent="0.2">
      <c r="B146" s="9"/>
      <c r="C146" s="2"/>
      <c r="D146" s="2"/>
      <c r="E146" s="2"/>
      <c r="F146" s="2"/>
      <c r="G146" s="2"/>
      <c r="H146" s="2"/>
      <c r="J146" s="2"/>
      <c r="K146" s="2"/>
      <c r="L146" s="2"/>
      <c r="M146" s="2"/>
      <c r="N146" s="2"/>
      <c r="O146" s="2"/>
      <c r="P146" s="2"/>
    </row>
    <row r="147" spans="2:16" x14ac:dyDescent="0.2">
      <c r="B147" s="9"/>
      <c r="C147" s="2"/>
      <c r="D147" s="2"/>
      <c r="E147" s="2"/>
      <c r="F147" s="2"/>
      <c r="G147" s="2"/>
      <c r="H147" s="2"/>
      <c r="J147" s="2"/>
      <c r="K147" s="2"/>
      <c r="L147" s="2"/>
      <c r="M147" s="2"/>
      <c r="N147" s="2"/>
      <c r="O147" s="2"/>
      <c r="P147" s="2"/>
    </row>
    <row r="148" spans="2:16" x14ac:dyDescent="0.2">
      <c r="B148" s="9"/>
      <c r="C148" s="2"/>
      <c r="D148" s="2"/>
      <c r="E148" s="2"/>
      <c r="F148" s="2"/>
      <c r="G148" s="2"/>
      <c r="H148" s="2"/>
      <c r="J148" s="2"/>
      <c r="K148" s="2"/>
      <c r="L148" s="2"/>
      <c r="M148" s="2"/>
      <c r="N148" s="2"/>
      <c r="O148" s="2"/>
      <c r="P148" s="2"/>
    </row>
    <row r="149" spans="2:16" x14ac:dyDescent="0.2">
      <c r="B149" s="9"/>
      <c r="C149" s="2"/>
      <c r="D149" s="2"/>
      <c r="E149" s="2"/>
      <c r="F149" s="2"/>
      <c r="G149" s="2"/>
      <c r="H149" s="2"/>
      <c r="J149" s="2"/>
      <c r="K149" s="2"/>
      <c r="L149" s="2"/>
      <c r="M149" s="2"/>
      <c r="N149" s="2"/>
      <c r="O149" s="2"/>
      <c r="P149" s="2"/>
    </row>
    <row r="150" spans="2:16" x14ac:dyDescent="0.2">
      <c r="B150" s="9"/>
      <c r="C150" s="2"/>
      <c r="D150" s="2"/>
      <c r="E150" s="2"/>
      <c r="F150" s="2"/>
      <c r="G150" s="2"/>
      <c r="H150" s="2"/>
      <c r="J150" s="2"/>
      <c r="K150" s="2"/>
      <c r="L150" s="2"/>
      <c r="M150" s="2"/>
      <c r="N150" s="2"/>
      <c r="O150" s="2"/>
      <c r="P150" s="2"/>
    </row>
    <row r="151" spans="2:16" x14ac:dyDescent="0.2">
      <c r="B151" s="9"/>
      <c r="C151" s="2"/>
      <c r="D151" s="2"/>
      <c r="E151" s="2"/>
      <c r="F151" s="2"/>
      <c r="G151" s="2"/>
      <c r="H151" s="2"/>
      <c r="J151" s="2"/>
      <c r="K151" s="2"/>
      <c r="L151" s="2"/>
      <c r="M151" s="2"/>
      <c r="N151" s="2"/>
      <c r="O151" s="2"/>
      <c r="P151" s="2"/>
    </row>
    <row r="152" spans="2:16" x14ac:dyDescent="0.2">
      <c r="B152" s="9"/>
      <c r="C152" s="2"/>
      <c r="D152" s="2"/>
      <c r="E152" s="2"/>
      <c r="F152" s="2"/>
      <c r="G152" s="2"/>
      <c r="H152" s="2"/>
      <c r="J152" s="2"/>
      <c r="K152" s="2"/>
      <c r="L152" s="2"/>
      <c r="M152" s="2"/>
      <c r="N152" s="2"/>
      <c r="O152" s="2"/>
      <c r="P152" s="2"/>
    </row>
    <row r="153" spans="2:16" x14ac:dyDescent="0.2">
      <c r="B153" s="9"/>
      <c r="C153" s="2"/>
      <c r="D153" s="2"/>
      <c r="E153" s="2"/>
      <c r="F153" s="2"/>
      <c r="G153" s="2"/>
      <c r="H153" s="2"/>
      <c r="J153" s="2"/>
      <c r="K153" s="2"/>
      <c r="L153" s="2"/>
      <c r="M153" s="2"/>
      <c r="N153" s="2"/>
      <c r="O153" s="2"/>
      <c r="P153" s="2"/>
    </row>
    <row r="154" spans="2:16" x14ac:dyDescent="0.2">
      <c r="B154" s="9"/>
      <c r="C154" s="2"/>
      <c r="D154" s="2"/>
      <c r="E154" s="2"/>
      <c r="F154" s="2"/>
      <c r="G154" s="2"/>
      <c r="H154" s="2"/>
      <c r="J154" s="2"/>
      <c r="K154" s="2"/>
      <c r="L154" s="2"/>
      <c r="M154" s="2"/>
      <c r="N154" s="2"/>
      <c r="O154" s="2"/>
      <c r="P154" s="2"/>
    </row>
    <row r="155" spans="2:16" x14ac:dyDescent="0.2">
      <c r="B155" s="9"/>
      <c r="C155" s="2"/>
      <c r="D155" s="2"/>
      <c r="E155" s="2"/>
      <c r="F155" s="2"/>
      <c r="G155" s="2"/>
      <c r="H155" s="2"/>
      <c r="J155" s="2"/>
      <c r="K155" s="2"/>
      <c r="L155" s="2"/>
      <c r="M155" s="2"/>
      <c r="N155" s="2"/>
      <c r="O155" s="2"/>
      <c r="P155" s="2"/>
    </row>
    <row r="156" spans="2:16" x14ac:dyDescent="0.2">
      <c r="B156" s="9"/>
      <c r="C156" s="2"/>
      <c r="D156" s="2"/>
      <c r="E156" s="2"/>
      <c r="F156" s="2"/>
      <c r="G156" s="2"/>
      <c r="H156" s="2"/>
      <c r="J156" s="2"/>
      <c r="K156" s="2"/>
      <c r="L156" s="2"/>
      <c r="M156" s="2"/>
      <c r="N156" s="2"/>
      <c r="O156" s="2"/>
      <c r="P156" s="2"/>
    </row>
    <row r="157" spans="2:16" x14ac:dyDescent="0.2">
      <c r="B157" s="9"/>
      <c r="C157" s="2"/>
      <c r="D157" s="2"/>
      <c r="E157" s="2"/>
      <c r="F157" s="2"/>
      <c r="G157" s="2"/>
      <c r="H157" s="2"/>
      <c r="J157" s="2"/>
      <c r="K157" s="2"/>
      <c r="L157" s="2"/>
      <c r="M157" s="2"/>
      <c r="N157" s="2"/>
      <c r="O157" s="2"/>
      <c r="P157" s="2"/>
    </row>
    <row r="158" spans="2:16" x14ac:dyDescent="0.2">
      <c r="B158" s="9"/>
      <c r="C158" s="2"/>
      <c r="D158" s="2"/>
      <c r="E158" s="2"/>
      <c r="F158" s="2"/>
      <c r="G158" s="2"/>
      <c r="H158" s="2"/>
      <c r="J158" s="2"/>
      <c r="K158" s="2"/>
      <c r="L158" s="2"/>
      <c r="M158" s="2"/>
      <c r="N158" s="2"/>
      <c r="O158" s="2"/>
      <c r="P158" s="2"/>
    </row>
    <row r="159" spans="2:16" x14ac:dyDescent="0.2">
      <c r="B159" s="9"/>
      <c r="C159" s="2"/>
      <c r="D159" s="2"/>
      <c r="E159" s="2"/>
      <c r="F159" s="2"/>
      <c r="G159" s="2"/>
      <c r="H159" s="2"/>
      <c r="J159" s="2"/>
      <c r="K159" s="2"/>
      <c r="L159" s="2"/>
      <c r="M159" s="2"/>
      <c r="N159" s="2"/>
      <c r="O159" s="2"/>
      <c r="P159" s="2"/>
    </row>
    <row r="160" spans="2:16" x14ac:dyDescent="0.2">
      <c r="B160" s="9"/>
      <c r="C160" s="2"/>
      <c r="D160" s="2"/>
      <c r="E160" s="2"/>
      <c r="F160" s="2"/>
      <c r="G160" s="2"/>
      <c r="H160" s="2"/>
      <c r="J160" s="2"/>
      <c r="K160" s="2"/>
      <c r="L160" s="2"/>
      <c r="M160" s="2"/>
      <c r="N160" s="2"/>
      <c r="O160" s="2"/>
      <c r="P160" s="2"/>
    </row>
    <row r="161" spans="1:25" x14ac:dyDescent="0.2">
      <c r="B161" s="9"/>
      <c r="C161" s="2"/>
      <c r="D161" s="2"/>
      <c r="E161" s="2"/>
      <c r="F161" s="2"/>
      <c r="G161" s="2"/>
      <c r="H161" s="2"/>
      <c r="J161" s="2"/>
      <c r="K161" s="2"/>
      <c r="L161" s="2"/>
      <c r="M161" s="2"/>
      <c r="N161" s="2"/>
      <c r="O161" s="2"/>
      <c r="P161" s="2"/>
    </row>
    <row r="162" spans="1:25" x14ac:dyDescent="0.2">
      <c r="B162" s="9"/>
      <c r="C162" s="2"/>
      <c r="D162" s="2"/>
      <c r="E162" s="2"/>
      <c r="F162" s="2"/>
      <c r="G162" s="2"/>
      <c r="H162" s="2"/>
      <c r="J162" s="2"/>
      <c r="K162" s="2"/>
      <c r="L162" s="2"/>
      <c r="M162" s="2"/>
      <c r="N162" s="2"/>
      <c r="O162" s="2"/>
      <c r="P162" s="2"/>
    </row>
    <row r="163" spans="1:25" x14ac:dyDescent="0.2">
      <c r="B163" s="9"/>
      <c r="C163" s="2"/>
      <c r="D163" s="2"/>
      <c r="E163" s="2"/>
      <c r="F163" s="2"/>
      <c r="G163" s="2"/>
      <c r="H163" s="2"/>
      <c r="J163" s="2"/>
      <c r="K163" s="2"/>
      <c r="L163" s="2"/>
      <c r="M163" s="2"/>
      <c r="N163" s="2"/>
      <c r="O163" s="2"/>
      <c r="P163" s="2"/>
    </row>
    <row r="164" spans="1:25" x14ac:dyDescent="0.2">
      <c r="B164" s="73" t="s">
        <v>85</v>
      </c>
      <c r="C164" s="2"/>
      <c r="D164" s="2"/>
      <c r="E164" s="2"/>
      <c r="F164" s="2"/>
      <c r="G164" s="2"/>
      <c r="H164" s="2"/>
      <c r="J164" s="2"/>
      <c r="K164" s="2"/>
      <c r="L164" s="2"/>
      <c r="M164" s="2"/>
      <c r="N164" s="2"/>
      <c r="O164" s="2"/>
      <c r="P164" s="2"/>
    </row>
    <row r="165" spans="1:25" s="74" customFormat="1" x14ac:dyDescent="0.2">
      <c r="A165" s="9"/>
      <c r="B165" s="9"/>
      <c r="C165" s="9" t="s">
        <v>86</v>
      </c>
      <c r="D165" s="9" t="s">
        <v>87</v>
      </c>
      <c r="E165" s="9" t="s">
        <v>88</v>
      </c>
      <c r="F165" s="9"/>
      <c r="G165" s="9"/>
      <c r="H165" s="9" t="s">
        <v>75</v>
      </c>
      <c r="I165" s="9"/>
      <c r="J165" s="9" t="s">
        <v>74</v>
      </c>
      <c r="K165" s="9"/>
      <c r="L165" s="9"/>
      <c r="M165" s="9"/>
      <c r="N165" s="9"/>
      <c r="O165" s="9"/>
      <c r="P165" s="9"/>
      <c r="Q165" s="9"/>
      <c r="R165" s="9"/>
      <c r="S165" s="9"/>
      <c r="T165" s="9"/>
      <c r="U165" s="9"/>
      <c r="V165" s="9"/>
      <c r="W165" s="9"/>
      <c r="X165" s="9"/>
      <c r="Y165" s="9"/>
    </row>
    <row r="166" spans="1:25" x14ac:dyDescent="0.2">
      <c r="B166" s="9"/>
      <c r="C166" s="75" t="s">
        <v>78</v>
      </c>
      <c r="D166" s="75" t="s">
        <v>78</v>
      </c>
      <c r="E166" s="75" t="s">
        <v>78</v>
      </c>
      <c r="F166" s="2"/>
      <c r="G166" s="2"/>
      <c r="H166" s="75" t="s">
        <v>78</v>
      </c>
      <c r="J166" s="2"/>
      <c r="K166" s="2"/>
      <c r="L166" s="2"/>
      <c r="M166" s="2"/>
      <c r="N166" s="2"/>
      <c r="O166" s="2"/>
      <c r="P166" s="2"/>
    </row>
    <row r="167" spans="1:25" x14ac:dyDescent="0.2">
      <c r="B167" s="9"/>
      <c r="C167" s="17" t="s">
        <v>89</v>
      </c>
      <c r="D167" s="2" t="s">
        <v>90</v>
      </c>
      <c r="E167" s="2" t="s">
        <v>91</v>
      </c>
      <c r="F167" s="2"/>
      <c r="G167" s="2"/>
      <c r="H167" s="2" t="s">
        <v>92</v>
      </c>
      <c r="J167" s="2" t="s">
        <v>93</v>
      </c>
      <c r="K167" s="2"/>
      <c r="L167" s="2"/>
      <c r="M167" s="2"/>
      <c r="N167" s="2"/>
      <c r="O167" s="2"/>
      <c r="P167" s="2"/>
    </row>
    <row r="168" spans="1:25" x14ac:dyDescent="0.2">
      <c r="B168" s="9"/>
      <c r="C168" s="2" t="s">
        <v>94</v>
      </c>
      <c r="D168" s="2" t="s">
        <v>95</v>
      </c>
      <c r="E168" s="2" t="s">
        <v>96</v>
      </c>
      <c r="F168" s="2"/>
      <c r="G168" s="2"/>
      <c r="H168" s="2" t="s">
        <v>97</v>
      </c>
      <c r="J168" s="2" t="s">
        <v>98</v>
      </c>
      <c r="K168" s="2"/>
      <c r="L168" s="2"/>
      <c r="M168" s="2"/>
      <c r="N168" s="2"/>
      <c r="O168" s="2"/>
      <c r="P168" s="2"/>
    </row>
    <row r="169" spans="1:25" x14ac:dyDescent="0.2">
      <c r="B169" s="9"/>
      <c r="C169" s="2" t="s">
        <v>99</v>
      </c>
      <c r="D169" s="2" t="s">
        <v>100</v>
      </c>
      <c r="E169" s="2" t="s">
        <v>101</v>
      </c>
      <c r="F169" s="2"/>
      <c r="G169" s="2"/>
      <c r="H169" s="2" t="s">
        <v>102</v>
      </c>
      <c r="J169" s="2"/>
      <c r="K169" s="2"/>
      <c r="L169" s="2"/>
      <c r="M169" s="2"/>
      <c r="N169" s="2"/>
      <c r="O169" s="2"/>
      <c r="P169" s="2"/>
    </row>
    <row r="170" spans="1:25" x14ac:dyDescent="0.2">
      <c r="B170" s="9"/>
      <c r="C170" s="2" t="s">
        <v>103</v>
      </c>
      <c r="D170" s="2" t="s">
        <v>104</v>
      </c>
      <c r="E170" s="2" t="s">
        <v>105</v>
      </c>
      <c r="F170" s="2"/>
      <c r="G170" s="2"/>
      <c r="H170" s="2" t="s">
        <v>106</v>
      </c>
      <c r="J170" s="2"/>
      <c r="K170" s="2"/>
      <c r="L170" s="2"/>
      <c r="M170" s="2"/>
      <c r="N170" s="2"/>
      <c r="O170" s="2"/>
      <c r="P170" s="2"/>
    </row>
    <row r="171" spans="1:25" x14ac:dyDescent="0.2">
      <c r="B171" s="9"/>
      <c r="C171" s="2" t="s">
        <v>107</v>
      </c>
      <c r="D171" s="2"/>
      <c r="E171" s="2" t="s">
        <v>108</v>
      </c>
      <c r="F171" s="2"/>
      <c r="G171" s="2"/>
      <c r="H171" s="2" t="s">
        <v>108</v>
      </c>
      <c r="J171" s="2"/>
      <c r="K171" s="2"/>
      <c r="L171" s="2"/>
      <c r="M171" s="2"/>
      <c r="N171" s="2"/>
      <c r="O171" s="2"/>
      <c r="P171" s="2"/>
    </row>
    <row r="172" spans="1:25" x14ac:dyDescent="0.2">
      <c r="B172" s="9"/>
      <c r="C172" s="2" t="s">
        <v>109</v>
      </c>
      <c r="D172" s="2"/>
      <c r="E172" s="2"/>
      <c r="F172" s="2"/>
      <c r="G172" s="2"/>
      <c r="H172" s="2"/>
      <c r="J172" s="2"/>
      <c r="K172" s="2"/>
      <c r="L172" s="2"/>
      <c r="M172" s="2"/>
      <c r="N172" s="2"/>
      <c r="O172" s="2"/>
      <c r="P172" s="2"/>
    </row>
    <row r="173" spans="1:25" x14ac:dyDescent="0.2">
      <c r="B173" s="9"/>
      <c r="C173" s="2" t="s">
        <v>110</v>
      </c>
      <c r="D173" s="2"/>
      <c r="E173" s="2"/>
      <c r="F173" s="2"/>
      <c r="G173" s="2"/>
      <c r="H173" s="2"/>
      <c r="J173" s="2"/>
      <c r="K173" s="2"/>
      <c r="L173" s="2"/>
      <c r="M173" s="2"/>
      <c r="N173" s="2"/>
      <c r="O173" s="2"/>
      <c r="P173" s="2"/>
    </row>
    <row r="174" spans="1:25" x14ac:dyDescent="0.2">
      <c r="B174" s="9"/>
      <c r="C174" s="2" t="s">
        <v>111</v>
      </c>
      <c r="D174" s="2"/>
      <c r="E174" s="2"/>
      <c r="F174" s="2"/>
      <c r="G174" s="2"/>
      <c r="H174" s="2"/>
      <c r="J174" s="2"/>
      <c r="K174" s="2"/>
      <c r="L174" s="2"/>
      <c r="M174" s="2"/>
      <c r="N174" s="2"/>
      <c r="O174" s="2"/>
      <c r="P174" s="2"/>
    </row>
    <row r="175" spans="1:25" x14ac:dyDescent="0.2">
      <c r="B175" s="9"/>
      <c r="C175" s="17" t="s">
        <v>112</v>
      </c>
      <c r="D175" s="2"/>
      <c r="E175" s="2"/>
      <c r="F175" s="2"/>
      <c r="G175" s="2"/>
      <c r="H175" s="2"/>
      <c r="J175" s="2"/>
      <c r="K175" s="2"/>
      <c r="L175" s="2"/>
      <c r="M175" s="2"/>
      <c r="N175" s="2"/>
      <c r="O175" s="2"/>
      <c r="P175" s="2"/>
    </row>
    <row r="176" spans="1:25"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row r="396" spans="2:2" x14ac:dyDescent="0.2">
      <c r="B396" s="9"/>
    </row>
    <row r="397" spans="2:2" x14ac:dyDescent="0.2">
      <c r="B397" s="9"/>
    </row>
    <row r="398" spans="2:2" x14ac:dyDescent="0.2">
      <c r="B398" s="9"/>
    </row>
    <row r="399" spans="2:2" x14ac:dyDescent="0.2">
      <c r="B399" s="9"/>
    </row>
    <row r="400" spans="2:2" x14ac:dyDescent="0.2">
      <c r="B400" s="9"/>
    </row>
    <row r="401" spans="2:2" x14ac:dyDescent="0.2">
      <c r="B401" s="9"/>
    </row>
    <row r="402" spans="2:2" x14ac:dyDescent="0.2">
      <c r="B402" s="9"/>
    </row>
    <row r="403" spans="2:2" x14ac:dyDescent="0.2">
      <c r="B403" s="9"/>
    </row>
    <row r="404" spans="2:2" x14ac:dyDescent="0.2">
      <c r="B404" s="9"/>
    </row>
    <row r="405" spans="2:2" x14ac:dyDescent="0.2">
      <c r="B405" s="9"/>
    </row>
    <row r="406" spans="2:2" x14ac:dyDescent="0.2">
      <c r="B406" s="9"/>
    </row>
    <row r="407" spans="2:2" x14ac:dyDescent="0.2">
      <c r="B407" s="9"/>
    </row>
    <row r="408" spans="2:2" x14ac:dyDescent="0.2">
      <c r="B408" s="9"/>
    </row>
    <row r="409" spans="2:2" x14ac:dyDescent="0.2">
      <c r="B409" s="9"/>
    </row>
    <row r="410" spans="2:2" x14ac:dyDescent="0.2">
      <c r="B410" s="9"/>
    </row>
    <row r="411" spans="2:2" x14ac:dyDescent="0.2">
      <c r="B411" s="9"/>
    </row>
    <row r="412" spans="2:2" x14ac:dyDescent="0.2">
      <c r="B412" s="9"/>
    </row>
    <row r="413" spans="2:2" x14ac:dyDescent="0.2">
      <c r="B413" s="9"/>
    </row>
    <row r="414" spans="2:2" x14ac:dyDescent="0.2">
      <c r="B414" s="9"/>
    </row>
  </sheetData>
  <sheetProtection formatCells="0" formatRows="0" insertRows="0" insertHyperlinks="0" deleteRows="0" selectLockedCells="1"/>
  <mergeCells count="78">
    <mergeCell ref="J25:P25"/>
    <mergeCell ref="J26:P26"/>
    <mergeCell ref="J37:P37"/>
    <mergeCell ref="J38:P38"/>
    <mergeCell ref="J31:P31"/>
    <mergeCell ref="J33:P33"/>
    <mergeCell ref="J34:P34"/>
    <mergeCell ref="J32:P32"/>
    <mergeCell ref="J35:P35"/>
    <mergeCell ref="J36:P36"/>
    <mergeCell ref="N108:P108"/>
    <mergeCell ref="N102:P102"/>
    <mergeCell ref="N105:P105"/>
    <mergeCell ref="N106:P106"/>
    <mergeCell ref="N107:P107"/>
    <mergeCell ref="N103:P103"/>
    <mergeCell ref="N104:P104"/>
    <mergeCell ref="N101:P101"/>
    <mergeCell ref="N92:P92"/>
    <mergeCell ref="N93:P93"/>
    <mergeCell ref="N94:P94"/>
    <mergeCell ref="N95:P95"/>
    <mergeCell ref="N96:P96"/>
    <mergeCell ref="N97:P97"/>
    <mergeCell ref="B99:P99"/>
    <mergeCell ref="N91:P91"/>
    <mergeCell ref="B17:C17"/>
    <mergeCell ref="D17:E17"/>
    <mergeCell ref="B20:P20"/>
    <mergeCell ref="J22:P22"/>
    <mergeCell ref="J23:P23"/>
    <mergeCell ref="B89:P89"/>
    <mergeCell ref="J24:P24"/>
    <mergeCell ref="J27:P27"/>
    <mergeCell ref="J29:P29"/>
    <mergeCell ref="J30:P30"/>
    <mergeCell ref="J79:P79"/>
    <mergeCell ref="J39:P39"/>
    <mergeCell ref="J40:P40"/>
    <mergeCell ref="J43:P43"/>
    <mergeCell ref="J46:P46"/>
    <mergeCell ref="B11:C11"/>
    <mergeCell ref="D11:E11"/>
    <mergeCell ref="B13:C13"/>
    <mergeCell ref="D13:E13"/>
    <mergeCell ref="G13:O16"/>
    <mergeCell ref="B14:C14"/>
    <mergeCell ref="D14:E14"/>
    <mergeCell ref="B15:C15"/>
    <mergeCell ref="D15:E15"/>
    <mergeCell ref="B16:C16"/>
    <mergeCell ref="D16:E16"/>
    <mergeCell ref="B6:C6"/>
    <mergeCell ref="D6:O6"/>
    <mergeCell ref="B8:P8"/>
    <mergeCell ref="B10:C10"/>
    <mergeCell ref="D10:E10"/>
    <mergeCell ref="B1:Q1"/>
    <mergeCell ref="B2:Q2"/>
    <mergeCell ref="B4:C4"/>
    <mergeCell ref="B5:C5"/>
    <mergeCell ref="G5:J5"/>
    <mergeCell ref="J80:P80"/>
    <mergeCell ref="J81:P81"/>
    <mergeCell ref="J82:P82"/>
    <mergeCell ref="J83:P83"/>
    <mergeCell ref="B12:C12"/>
    <mergeCell ref="D12:E12"/>
    <mergeCell ref="J47:P47"/>
    <mergeCell ref="J41:P41"/>
    <mergeCell ref="J42:P42"/>
    <mergeCell ref="J51:P51"/>
    <mergeCell ref="J52:P52"/>
    <mergeCell ref="J53:P53"/>
    <mergeCell ref="J48:P48"/>
    <mergeCell ref="J49:P49"/>
    <mergeCell ref="J50:P50"/>
    <mergeCell ref="J28:P28"/>
  </mergeCells>
  <conditionalFormatting sqref="H92:H96 H102:H108">
    <cfRule type="cellIs" dxfId="6" priority="2" stopIfTrue="1" operator="equal">
      <formula>0</formula>
    </cfRule>
  </conditionalFormatting>
  <conditionalFormatting sqref="G92:G96 G102:G108">
    <cfRule type="cellIs" dxfId="5" priority="1" stopIfTrue="1" operator="equal">
      <formula>1</formula>
    </cfRule>
  </conditionalFormatting>
  <dataValidations count="10">
    <dataValidation type="list" allowBlank="1" showInputMessage="1" showErrorMessage="1" sqref="L65604:L65642 L102:L107 JH102:JH107 TD102:TD107 ACZ102:ACZ107 AMV102:AMV107 AWR102:AWR107 BGN102:BGN107 BQJ102:BQJ107 CAF102:CAF107 CKB102:CKB107 CTX102:CTX107 DDT102:DDT107 DNP102:DNP107 DXL102:DXL107 EHH102:EHH107 ERD102:ERD107 FAZ102:FAZ107 FKV102:FKV107 FUR102:FUR107 GEN102:GEN107 GOJ102:GOJ107 GYF102:GYF107 HIB102:HIB107 HRX102:HRX107 IBT102:IBT107 ILP102:ILP107 IVL102:IVL107 JFH102:JFH107 JPD102:JPD107 JYZ102:JYZ107 KIV102:KIV107 KSR102:KSR107 LCN102:LCN107 LMJ102:LMJ107 LWF102:LWF107 MGB102:MGB107 MPX102:MPX107 MZT102:MZT107 NJP102:NJP107 NTL102:NTL107 ODH102:ODH107 OND102:OND107 OWZ102:OWZ107 PGV102:PGV107 PQR102:PQR107 QAN102:QAN107 QKJ102:QKJ107 QUF102:QUF107 REB102:REB107 RNX102:RNX107 RXT102:RXT107 SHP102:SHP107 SRL102:SRL107 TBH102:TBH107 TLD102:TLD107 TUZ102:TUZ107 UEV102:UEV107 UOR102:UOR107 UYN102:UYN107 VIJ102:VIJ107 VSF102:VSF107 WCB102:WCB107 WLX102:WLX107 WVT102:WVT107 JH65604:JH65642 TD65604:TD65642 ACZ65604:ACZ65642 AMV65604:AMV65642 AWR65604:AWR65642 BGN65604:BGN65642 BQJ65604:BQJ65642 CAF65604:CAF65642 CKB65604:CKB65642 CTX65604:CTX65642 DDT65604:DDT65642 DNP65604:DNP65642 DXL65604:DXL65642 EHH65604:EHH65642 ERD65604:ERD65642 FAZ65604:FAZ65642 FKV65604:FKV65642 FUR65604:FUR65642 GEN65604:GEN65642 GOJ65604:GOJ65642 GYF65604:GYF65642 HIB65604:HIB65642 HRX65604:HRX65642 IBT65604:IBT65642 ILP65604:ILP65642 IVL65604:IVL65642 JFH65604:JFH65642 JPD65604:JPD65642 JYZ65604:JYZ65642 KIV65604:KIV65642 KSR65604:KSR65642 LCN65604:LCN65642 LMJ65604:LMJ65642 LWF65604:LWF65642 MGB65604:MGB65642 MPX65604:MPX65642 MZT65604:MZT65642 NJP65604:NJP65642 NTL65604:NTL65642 ODH65604:ODH65642 OND65604:OND65642 OWZ65604:OWZ65642 PGV65604:PGV65642 PQR65604:PQR65642 QAN65604:QAN65642 QKJ65604:QKJ65642 QUF65604:QUF65642 REB65604:REB65642 RNX65604:RNX65642 RXT65604:RXT65642 SHP65604:SHP65642 SRL65604:SRL65642 TBH65604:TBH65642 TLD65604:TLD65642 TUZ65604:TUZ65642 UEV65604:UEV65642 UOR65604:UOR65642 UYN65604:UYN65642 VIJ65604:VIJ65642 VSF65604:VSF65642 WCB65604:WCB65642 WLX65604:WLX65642 WVT65604:WVT65642 L131140:L131178 JH131140:JH131178 TD131140:TD131178 ACZ131140:ACZ131178 AMV131140:AMV131178 AWR131140:AWR131178 BGN131140:BGN131178 BQJ131140:BQJ131178 CAF131140:CAF131178 CKB131140:CKB131178 CTX131140:CTX131178 DDT131140:DDT131178 DNP131140:DNP131178 DXL131140:DXL131178 EHH131140:EHH131178 ERD131140:ERD131178 FAZ131140:FAZ131178 FKV131140:FKV131178 FUR131140:FUR131178 GEN131140:GEN131178 GOJ131140:GOJ131178 GYF131140:GYF131178 HIB131140:HIB131178 HRX131140:HRX131178 IBT131140:IBT131178 ILP131140:ILP131178 IVL131140:IVL131178 JFH131140:JFH131178 JPD131140:JPD131178 JYZ131140:JYZ131178 KIV131140:KIV131178 KSR131140:KSR131178 LCN131140:LCN131178 LMJ131140:LMJ131178 LWF131140:LWF131178 MGB131140:MGB131178 MPX131140:MPX131178 MZT131140:MZT131178 NJP131140:NJP131178 NTL131140:NTL131178 ODH131140:ODH131178 OND131140:OND131178 OWZ131140:OWZ131178 PGV131140:PGV131178 PQR131140:PQR131178 QAN131140:QAN131178 QKJ131140:QKJ131178 QUF131140:QUF131178 REB131140:REB131178 RNX131140:RNX131178 RXT131140:RXT131178 SHP131140:SHP131178 SRL131140:SRL131178 TBH131140:TBH131178 TLD131140:TLD131178 TUZ131140:TUZ131178 UEV131140:UEV131178 UOR131140:UOR131178 UYN131140:UYN131178 VIJ131140:VIJ131178 VSF131140:VSF131178 WCB131140:WCB131178 WLX131140:WLX131178 WVT131140:WVT131178 L196676:L196714 JH196676:JH196714 TD196676:TD196714 ACZ196676:ACZ196714 AMV196676:AMV196714 AWR196676:AWR196714 BGN196676:BGN196714 BQJ196676:BQJ196714 CAF196676:CAF196714 CKB196676:CKB196714 CTX196676:CTX196714 DDT196676:DDT196714 DNP196676:DNP196714 DXL196676:DXL196714 EHH196676:EHH196714 ERD196676:ERD196714 FAZ196676:FAZ196714 FKV196676:FKV196714 FUR196676:FUR196714 GEN196676:GEN196714 GOJ196676:GOJ196714 GYF196676:GYF196714 HIB196676:HIB196714 HRX196676:HRX196714 IBT196676:IBT196714 ILP196676:ILP196714 IVL196676:IVL196714 JFH196676:JFH196714 JPD196676:JPD196714 JYZ196676:JYZ196714 KIV196676:KIV196714 KSR196676:KSR196714 LCN196676:LCN196714 LMJ196676:LMJ196714 LWF196676:LWF196714 MGB196676:MGB196714 MPX196676:MPX196714 MZT196676:MZT196714 NJP196676:NJP196714 NTL196676:NTL196714 ODH196676:ODH196714 OND196676:OND196714 OWZ196676:OWZ196714 PGV196676:PGV196714 PQR196676:PQR196714 QAN196676:QAN196714 QKJ196676:QKJ196714 QUF196676:QUF196714 REB196676:REB196714 RNX196676:RNX196714 RXT196676:RXT196714 SHP196676:SHP196714 SRL196676:SRL196714 TBH196676:TBH196714 TLD196676:TLD196714 TUZ196676:TUZ196714 UEV196676:UEV196714 UOR196676:UOR196714 UYN196676:UYN196714 VIJ196676:VIJ196714 VSF196676:VSF196714 WCB196676:WCB196714 WLX196676:WLX196714 WVT196676:WVT196714 L262212:L262250 JH262212:JH262250 TD262212:TD262250 ACZ262212:ACZ262250 AMV262212:AMV262250 AWR262212:AWR262250 BGN262212:BGN262250 BQJ262212:BQJ262250 CAF262212:CAF262250 CKB262212:CKB262250 CTX262212:CTX262250 DDT262212:DDT262250 DNP262212:DNP262250 DXL262212:DXL262250 EHH262212:EHH262250 ERD262212:ERD262250 FAZ262212:FAZ262250 FKV262212:FKV262250 FUR262212:FUR262250 GEN262212:GEN262250 GOJ262212:GOJ262250 GYF262212:GYF262250 HIB262212:HIB262250 HRX262212:HRX262250 IBT262212:IBT262250 ILP262212:ILP262250 IVL262212:IVL262250 JFH262212:JFH262250 JPD262212:JPD262250 JYZ262212:JYZ262250 KIV262212:KIV262250 KSR262212:KSR262250 LCN262212:LCN262250 LMJ262212:LMJ262250 LWF262212:LWF262250 MGB262212:MGB262250 MPX262212:MPX262250 MZT262212:MZT262250 NJP262212:NJP262250 NTL262212:NTL262250 ODH262212:ODH262250 OND262212:OND262250 OWZ262212:OWZ262250 PGV262212:PGV262250 PQR262212:PQR262250 QAN262212:QAN262250 QKJ262212:QKJ262250 QUF262212:QUF262250 REB262212:REB262250 RNX262212:RNX262250 RXT262212:RXT262250 SHP262212:SHP262250 SRL262212:SRL262250 TBH262212:TBH262250 TLD262212:TLD262250 TUZ262212:TUZ262250 UEV262212:UEV262250 UOR262212:UOR262250 UYN262212:UYN262250 VIJ262212:VIJ262250 VSF262212:VSF262250 WCB262212:WCB262250 WLX262212:WLX262250 WVT262212:WVT262250 L327748:L327786 JH327748:JH327786 TD327748:TD327786 ACZ327748:ACZ327786 AMV327748:AMV327786 AWR327748:AWR327786 BGN327748:BGN327786 BQJ327748:BQJ327786 CAF327748:CAF327786 CKB327748:CKB327786 CTX327748:CTX327786 DDT327748:DDT327786 DNP327748:DNP327786 DXL327748:DXL327786 EHH327748:EHH327786 ERD327748:ERD327786 FAZ327748:FAZ327786 FKV327748:FKV327786 FUR327748:FUR327786 GEN327748:GEN327786 GOJ327748:GOJ327786 GYF327748:GYF327786 HIB327748:HIB327786 HRX327748:HRX327786 IBT327748:IBT327786 ILP327748:ILP327786 IVL327748:IVL327786 JFH327748:JFH327786 JPD327748:JPD327786 JYZ327748:JYZ327786 KIV327748:KIV327786 KSR327748:KSR327786 LCN327748:LCN327786 LMJ327748:LMJ327786 LWF327748:LWF327786 MGB327748:MGB327786 MPX327748:MPX327786 MZT327748:MZT327786 NJP327748:NJP327786 NTL327748:NTL327786 ODH327748:ODH327786 OND327748:OND327786 OWZ327748:OWZ327786 PGV327748:PGV327786 PQR327748:PQR327786 QAN327748:QAN327786 QKJ327748:QKJ327786 QUF327748:QUF327786 REB327748:REB327786 RNX327748:RNX327786 RXT327748:RXT327786 SHP327748:SHP327786 SRL327748:SRL327786 TBH327748:TBH327786 TLD327748:TLD327786 TUZ327748:TUZ327786 UEV327748:UEV327786 UOR327748:UOR327786 UYN327748:UYN327786 VIJ327748:VIJ327786 VSF327748:VSF327786 WCB327748:WCB327786 WLX327748:WLX327786 WVT327748:WVT327786 L393284:L393322 JH393284:JH393322 TD393284:TD393322 ACZ393284:ACZ393322 AMV393284:AMV393322 AWR393284:AWR393322 BGN393284:BGN393322 BQJ393284:BQJ393322 CAF393284:CAF393322 CKB393284:CKB393322 CTX393284:CTX393322 DDT393284:DDT393322 DNP393284:DNP393322 DXL393284:DXL393322 EHH393284:EHH393322 ERD393284:ERD393322 FAZ393284:FAZ393322 FKV393284:FKV393322 FUR393284:FUR393322 GEN393284:GEN393322 GOJ393284:GOJ393322 GYF393284:GYF393322 HIB393284:HIB393322 HRX393284:HRX393322 IBT393284:IBT393322 ILP393284:ILP393322 IVL393284:IVL393322 JFH393284:JFH393322 JPD393284:JPD393322 JYZ393284:JYZ393322 KIV393284:KIV393322 KSR393284:KSR393322 LCN393284:LCN393322 LMJ393284:LMJ393322 LWF393284:LWF393322 MGB393284:MGB393322 MPX393284:MPX393322 MZT393284:MZT393322 NJP393284:NJP393322 NTL393284:NTL393322 ODH393284:ODH393322 OND393284:OND393322 OWZ393284:OWZ393322 PGV393284:PGV393322 PQR393284:PQR393322 QAN393284:QAN393322 QKJ393284:QKJ393322 QUF393284:QUF393322 REB393284:REB393322 RNX393284:RNX393322 RXT393284:RXT393322 SHP393284:SHP393322 SRL393284:SRL393322 TBH393284:TBH393322 TLD393284:TLD393322 TUZ393284:TUZ393322 UEV393284:UEV393322 UOR393284:UOR393322 UYN393284:UYN393322 VIJ393284:VIJ393322 VSF393284:VSF393322 WCB393284:WCB393322 WLX393284:WLX393322 WVT393284:WVT393322 L458820:L458858 JH458820:JH458858 TD458820:TD458858 ACZ458820:ACZ458858 AMV458820:AMV458858 AWR458820:AWR458858 BGN458820:BGN458858 BQJ458820:BQJ458858 CAF458820:CAF458858 CKB458820:CKB458858 CTX458820:CTX458858 DDT458820:DDT458858 DNP458820:DNP458858 DXL458820:DXL458858 EHH458820:EHH458858 ERD458820:ERD458858 FAZ458820:FAZ458858 FKV458820:FKV458858 FUR458820:FUR458858 GEN458820:GEN458858 GOJ458820:GOJ458858 GYF458820:GYF458858 HIB458820:HIB458858 HRX458820:HRX458858 IBT458820:IBT458858 ILP458820:ILP458858 IVL458820:IVL458858 JFH458820:JFH458858 JPD458820:JPD458858 JYZ458820:JYZ458858 KIV458820:KIV458858 KSR458820:KSR458858 LCN458820:LCN458858 LMJ458820:LMJ458858 LWF458820:LWF458858 MGB458820:MGB458858 MPX458820:MPX458858 MZT458820:MZT458858 NJP458820:NJP458858 NTL458820:NTL458858 ODH458820:ODH458858 OND458820:OND458858 OWZ458820:OWZ458858 PGV458820:PGV458858 PQR458820:PQR458858 QAN458820:QAN458858 QKJ458820:QKJ458858 QUF458820:QUF458858 REB458820:REB458858 RNX458820:RNX458858 RXT458820:RXT458858 SHP458820:SHP458858 SRL458820:SRL458858 TBH458820:TBH458858 TLD458820:TLD458858 TUZ458820:TUZ458858 UEV458820:UEV458858 UOR458820:UOR458858 UYN458820:UYN458858 VIJ458820:VIJ458858 VSF458820:VSF458858 WCB458820:WCB458858 WLX458820:WLX458858 WVT458820:WVT458858 L524356:L524394 JH524356:JH524394 TD524356:TD524394 ACZ524356:ACZ524394 AMV524356:AMV524394 AWR524356:AWR524394 BGN524356:BGN524394 BQJ524356:BQJ524394 CAF524356:CAF524394 CKB524356:CKB524394 CTX524356:CTX524394 DDT524356:DDT524394 DNP524356:DNP524394 DXL524356:DXL524394 EHH524356:EHH524394 ERD524356:ERD524394 FAZ524356:FAZ524394 FKV524356:FKV524394 FUR524356:FUR524394 GEN524356:GEN524394 GOJ524356:GOJ524394 GYF524356:GYF524394 HIB524356:HIB524394 HRX524356:HRX524394 IBT524356:IBT524394 ILP524356:ILP524394 IVL524356:IVL524394 JFH524356:JFH524394 JPD524356:JPD524394 JYZ524356:JYZ524394 KIV524356:KIV524394 KSR524356:KSR524394 LCN524356:LCN524394 LMJ524356:LMJ524394 LWF524356:LWF524394 MGB524356:MGB524394 MPX524356:MPX524394 MZT524356:MZT524394 NJP524356:NJP524394 NTL524356:NTL524394 ODH524356:ODH524394 OND524356:OND524394 OWZ524356:OWZ524394 PGV524356:PGV524394 PQR524356:PQR524394 QAN524356:QAN524394 QKJ524356:QKJ524394 QUF524356:QUF524394 REB524356:REB524394 RNX524356:RNX524394 RXT524356:RXT524394 SHP524356:SHP524394 SRL524356:SRL524394 TBH524356:TBH524394 TLD524356:TLD524394 TUZ524356:TUZ524394 UEV524356:UEV524394 UOR524356:UOR524394 UYN524356:UYN524394 VIJ524356:VIJ524394 VSF524356:VSF524394 WCB524356:WCB524394 WLX524356:WLX524394 WVT524356:WVT524394 L589892:L589930 JH589892:JH589930 TD589892:TD589930 ACZ589892:ACZ589930 AMV589892:AMV589930 AWR589892:AWR589930 BGN589892:BGN589930 BQJ589892:BQJ589930 CAF589892:CAF589930 CKB589892:CKB589930 CTX589892:CTX589930 DDT589892:DDT589930 DNP589892:DNP589930 DXL589892:DXL589930 EHH589892:EHH589930 ERD589892:ERD589930 FAZ589892:FAZ589930 FKV589892:FKV589930 FUR589892:FUR589930 GEN589892:GEN589930 GOJ589892:GOJ589930 GYF589892:GYF589930 HIB589892:HIB589930 HRX589892:HRX589930 IBT589892:IBT589930 ILP589892:ILP589930 IVL589892:IVL589930 JFH589892:JFH589930 JPD589892:JPD589930 JYZ589892:JYZ589930 KIV589892:KIV589930 KSR589892:KSR589930 LCN589892:LCN589930 LMJ589892:LMJ589930 LWF589892:LWF589930 MGB589892:MGB589930 MPX589892:MPX589930 MZT589892:MZT589930 NJP589892:NJP589930 NTL589892:NTL589930 ODH589892:ODH589930 OND589892:OND589930 OWZ589892:OWZ589930 PGV589892:PGV589930 PQR589892:PQR589930 QAN589892:QAN589930 QKJ589892:QKJ589930 QUF589892:QUF589930 REB589892:REB589930 RNX589892:RNX589930 RXT589892:RXT589930 SHP589892:SHP589930 SRL589892:SRL589930 TBH589892:TBH589930 TLD589892:TLD589930 TUZ589892:TUZ589930 UEV589892:UEV589930 UOR589892:UOR589930 UYN589892:UYN589930 VIJ589892:VIJ589930 VSF589892:VSF589930 WCB589892:WCB589930 WLX589892:WLX589930 WVT589892:WVT589930 L655428:L655466 JH655428:JH655466 TD655428:TD655466 ACZ655428:ACZ655466 AMV655428:AMV655466 AWR655428:AWR655466 BGN655428:BGN655466 BQJ655428:BQJ655466 CAF655428:CAF655466 CKB655428:CKB655466 CTX655428:CTX655466 DDT655428:DDT655466 DNP655428:DNP655466 DXL655428:DXL655466 EHH655428:EHH655466 ERD655428:ERD655466 FAZ655428:FAZ655466 FKV655428:FKV655466 FUR655428:FUR655466 GEN655428:GEN655466 GOJ655428:GOJ655466 GYF655428:GYF655466 HIB655428:HIB655466 HRX655428:HRX655466 IBT655428:IBT655466 ILP655428:ILP655466 IVL655428:IVL655466 JFH655428:JFH655466 JPD655428:JPD655466 JYZ655428:JYZ655466 KIV655428:KIV655466 KSR655428:KSR655466 LCN655428:LCN655466 LMJ655428:LMJ655466 LWF655428:LWF655466 MGB655428:MGB655466 MPX655428:MPX655466 MZT655428:MZT655466 NJP655428:NJP655466 NTL655428:NTL655466 ODH655428:ODH655466 OND655428:OND655466 OWZ655428:OWZ655466 PGV655428:PGV655466 PQR655428:PQR655466 QAN655428:QAN655466 QKJ655428:QKJ655466 QUF655428:QUF655466 REB655428:REB655466 RNX655428:RNX655466 RXT655428:RXT655466 SHP655428:SHP655466 SRL655428:SRL655466 TBH655428:TBH655466 TLD655428:TLD655466 TUZ655428:TUZ655466 UEV655428:UEV655466 UOR655428:UOR655466 UYN655428:UYN655466 VIJ655428:VIJ655466 VSF655428:VSF655466 WCB655428:WCB655466 WLX655428:WLX655466 WVT655428:WVT655466 L720964:L721002 JH720964:JH721002 TD720964:TD721002 ACZ720964:ACZ721002 AMV720964:AMV721002 AWR720964:AWR721002 BGN720964:BGN721002 BQJ720964:BQJ721002 CAF720964:CAF721002 CKB720964:CKB721002 CTX720964:CTX721002 DDT720964:DDT721002 DNP720964:DNP721002 DXL720964:DXL721002 EHH720964:EHH721002 ERD720964:ERD721002 FAZ720964:FAZ721002 FKV720964:FKV721002 FUR720964:FUR721002 GEN720964:GEN721002 GOJ720964:GOJ721002 GYF720964:GYF721002 HIB720964:HIB721002 HRX720964:HRX721002 IBT720964:IBT721002 ILP720964:ILP721002 IVL720964:IVL721002 JFH720964:JFH721002 JPD720964:JPD721002 JYZ720964:JYZ721002 KIV720964:KIV721002 KSR720964:KSR721002 LCN720964:LCN721002 LMJ720964:LMJ721002 LWF720964:LWF721002 MGB720964:MGB721002 MPX720964:MPX721002 MZT720964:MZT721002 NJP720964:NJP721002 NTL720964:NTL721002 ODH720964:ODH721002 OND720964:OND721002 OWZ720964:OWZ721002 PGV720964:PGV721002 PQR720964:PQR721002 QAN720964:QAN721002 QKJ720964:QKJ721002 QUF720964:QUF721002 REB720964:REB721002 RNX720964:RNX721002 RXT720964:RXT721002 SHP720964:SHP721002 SRL720964:SRL721002 TBH720964:TBH721002 TLD720964:TLD721002 TUZ720964:TUZ721002 UEV720964:UEV721002 UOR720964:UOR721002 UYN720964:UYN721002 VIJ720964:VIJ721002 VSF720964:VSF721002 WCB720964:WCB721002 WLX720964:WLX721002 WVT720964:WVT721002 L786500:L786538 JH786500:JH786538 TD786500:TD786538 ACZ786500:ACZ786538 AMV786500:AMV786538 AWR786500:AWR786538 BGN786500:BGN786538 BQJ786500:BQJ786538 CAF786500:CAF786538 CKB786500:CKB786538 CTX786500:CTX786538 DDT786500:DDT786538 DNP786500:DNP786538 DXL786500:DXL786538 EHH786500:EHH786538 ERD786500:ERD786538 FAZ786500:FAZ786538 FKV786500:FKV786538 FUR786500:FUR786538 GEN786500:GEN786538 GOJ786500:GOJ786538 GYF786500:GYF786538 HIB786500:HIB786538 HRX786500:HRX786538 IBT786500:IBT786538 ILP786500:ILP786538 IVL786500:IVL786538 JFH786500:JFH786538 JPD786500:JPD786538 JYZ786500:JYZ786538 KIV786500:KIV786538 KSR786500:KSR786538 LCN786500:LCN786538 LMJ786500:LMJ786538 LWF786500:LWF786538 MGB786500:MGB786538 MPX786500:MPX786538 MZT786500:MZT786538 NJP786500:NJP786538 NTL786500:NTL786538 ODH786500:ODH786538 OND786500:OND786538 OWZ786500:OWZ786538 PGV786500:PGV786538 PQR786500:PQR786538 QAN786500:QAN786538 QKJ786500:QKJ786538 QUF786500:QUF786538 REB786500:REB786538 RNX786500:RNX786538 RXT786500:RXT786538 SHP786500:SHP786538 SRL786500:SRL786538 TBH786500:TBH786538 TLD786500:TLD786538 TUZ786500:TUZ786538 UEV786500:UEV786538 UOR786500:UOR786538 UYN786500:UYN786538 VIJ786500:VIJ786538 VSF786500:VSF786538 WCB786500:WCB786538 WLX786500:WLX786538 WVT786500:WVT786538 L852036:L852074 JH852036:JH852074 TD852036:TD852074 ACZ852036:ACZ852074 AMV852036:AMV852074 AWR852036:AWR852074 BGN852036:BGN852074 BQJ852036:BQJ852074 CAF852036:CAF852074 CKB852036:CKB852074 CTX852036:CTX852074 DDT852036:DDT852074 DNP852036:DNP852074 DXL852036:DXL852074 EHH852036:EHH852074 ERD852036:ERD852074 FAZ852036:FAZ852074 FKV852036:FKV852074 FUR852036:FUR852074 GEN852036:GEN852074 GOJ852036:GOJ852074 GYF852036:GYF852074 HIB852036:HIB852074 HRX852036:HRX852074 IBT852036:IBT852074 ILP852036:ILP852074 IVL852036:IVL852074 JFH852036:JFH852074 JPD852036:JPD852074 JYZ852036:JYZ852074 KIV852036:KIV852074 KSR852036:KSR852074 LCN852036:LCN852074 LMJ852036:LMJ852074 LWF852036:LWF852074 MGB852036:MGB852074 MPX852036:MPX852074 MZT852036:MZT852074 NJP852036:NJP852074 NTL852036:NTL852074 ODH852036:ODH852074 OND852036:OND852074 OWZ852036:OWZ852074 PGV852036:PGV852074 PQR852036:PQR852074 QAN852036:QAN852074 QKJ852036:QKJ852074 QUF852036:QUF852074 REB852036:REB852074 RNX852036:RNX852074 RXT852036:RXT852074 SHP852036:SHP852074 SRL852036:SRL852074 TBH852036:TBH852074 TLD852036:TLD852074 TUZ852036:TUZ852074 UEV852036:UEV852074 UOR852036:UOR852074 UYN852036:UYN852074 VIJ852036:VIJ852074 VSF852036:VSF852074 WCB852036:WCB852074 WLX852036:WLX852074 WVT852036:WVT852074 L917572:L917610 JH917572:JH917610 TD917572:TD917610 ACZ917572:ACZ917610 AMV917572:AMV917610 AWR917572:AWR917610 BGN917572:BGN917610 BQJ917572:BQJ917610 CAF917572:CAF917610 CKB917572:CKB917610 CTX917572:CTX917610 DDT917572:DDT917610 DNP917572:DNP917610 DXL917572:DXL917610 EHH917572:EHH917610 ERD917572:ERD917610 FAZ917572:FAZ917610 FKV917572:FKV917610 FUR917572:FUR917610 GEN917572:GEN917610 GOJ917572:GOJ917610 GYF917572:GYF917610 HIB917572:HIB917610 HRX917572:HRX917610 IBT917572:IBT917610 ILP917572:ILP917610 IVL917572:IVL917610 JFH917572:JFH917610 JPD917572:JPD917610 JYZ917572:JYZ917610 KIV917572:KIV917610 KSR917572:KSR917610 LCN917572:LCN917610 LMJ917572:LMJ917610 LWF917572:LWF917610 MGB917572:MGB917610 MPX917572:MPX917610 MZT917572:MZT917610 NJP917572:NJP917610 NTL917572:NTL917610 ODH917572:ODH917610 OND917572:OND917610 OWZ917572:OWZ917610 PGV917572:PGV917610 PQR917572:PQR917610 QAN917572:QAN917610 QKJ917572:QKJ917610 QUF917572:QUF917610 REB917572:REB917610 RNX917572:RNX917610 RXT917572:RXT917610 SHP917572:SHP917610 SRL917572:SRL917610 TBH917572:TBH917610 TLD917572:TLD917610 TUZ917572:TUZ917610 UEV917572:UEV917610 UOR917572:UOR917610 UYN917572:UYN917610 VIJ917572:VIJ917610 VSF917572:VSF917610 WCB917572:WCB917610 WLX917572:WLX917610 WVT917572:WVT917610 L983108:L983146 JH983108:JH983146 TD983108:TD983146 ACZ983108:ACZ983146 AMV983108:AMV983146 AWR983108:AWR983146 BGN983108:BGN983146 BQJ983108:BQJ983146 CAF983108:CAF983146 CKB983108:CKB983146 CTX983108:CTX983146 DDT983108:DDT983146 DNP983108:DNP983146 DXL983108:DXL983146 EHH983108:EHH983146 ERD983108:ERD983146 FAZ983108:FAZ983146 FKV983108:FKV983146 FUR983108:FUR983146 GEN983108:GEN983146 GOJ983108:GOJ983146 GYF983108:GYF983146 HIB983108:HIB983146 HRX983108:HRX983146 IBT983108:IBT983146 ILP983108:ILP983146 IVL983108:IVL983146 JFH983108:JFH983146 JPD983108:JPD983146 JYZ983108:JYZ983146 KIV983108:KIV983146 KSR983108:KSR983146 LCN983108:LCN983146 LMJ983108:LMJ983146 LWF983108:LWF983146 MGB983108:MGB983146 MPX983108:MPX983146 MZT983108:MZT983146 NJP983108:NJP983146 NTL983108:NTL983146 ODH983108:ODH983146 OND983108:OND983146 OWZ983108:OWZ983146 PGV983108:PGV983146 PQR983108:PQR983146 QAN983108:QAN983146 QKJ983108:QKJ983146 QUF983108:QUF983146 REB983108:REB983146 RNX983108:RNX983146 RXT983108:RXT983146 SHP983108:SHP983146 SRL983108:SRL983146 TBH983108:TBH983146 TLD983108:TLD983146 TUZ983108:TUZ983146 UEV983108:UEV983146 UOR983108:UOR983146 UYN983108:UYN983146 VIJ983108:VIJ983146 VSF983108:VSF983146 WCB983108:WCB983146 WLX983108:WLX983146 WVT983108:WVT983146 L92:L96 JH92:JH96 TD92:TD96 ACZ92:ACZ96 AMV92:AMV96 AWR92:AWR96 BGN92:BGN96 BQJ92:BQJ96 CAF92:CAF96 CKB92:CKB96 CTX92:CTX96 DDT92:DDT96 DNP92:DNP96 DXL92:DXL96 EHH92:EHH96 ERD92:ERD96 FAZ92:FAZ96 FKV92:FKV96 FUR92:FUR96 GEN92:GEN96 GOJ92:GOJ96 GYF92:GYF96 HIB92:HIB96 HRX92:HRX96 IBT92:IBT96 ILP92:ILP96 IVL92:IVL96 JFH92:JFH96 JPD92:JPD96 JYZ92:JYZ96 KIV92:KIV96 KSR92:KSR96 LCN92:LCN96 LMJ92:LMJ96 LWF92:LWF96 MGB92:MGB96 MPX92:MPX96 MZT92:MZT96 NJP92:NJP96 NTL92:NTL96 ODH92:ODH96 OND92:OND96 OWZ92:OWZ96 PGV92:PGV96 PQR92:PQR96 QAN92:QAN96 QKJ92:QKJ96 QUF92:QUF96 REB92:REB96 RNX92:RNX96 RXT92:RXT96 SHP92:SHP96 SRL92:SRL96 TBH92:TBH96 TLD92:TLD96 TUZ92:TUZ96 UEV92:UEV96 UOR92:UOR96 UYN92:UYN96 VIJ92:VIJ96 VSF92:VSF96 WCB92:WCB96 WLX92:WLX96 WVT92:WVT96 L65590:L65597 JH65590:JH65597 TD65590:TD65597 ACZ65590:ACZ65597 AMV65590:AMV65597 AWR65590:AWR65597 BGN65590:BGN65597 BQJ65590:BQJ65597 CAF65590:CAF65597 CKB65590:CKB65597 CTX65590:CTX65597 DDT65590:DDT65597 DNP65590:DNP65597 DXL65590:DXL65597 EHH65590:EHH65597 ERD65590:ERD65597 FAZ65590:FAZ65597 FKV65590:FKV65597 FUR65590:FUR65597 GEN65590:GEN65597 GOJ65590:GOJ65597 GYF65590:GYF65597 HIB65590:HIB65597 HRX65590:HRX65597 IBT65590:IBT65597 ILP65590:ILP65597 IVL65590:IVL65597 JFH65590:JFH65597 JPD65590:JPD65597 JYZ65590:JYZ65597 KIV65590:KIV65597 KSR65590:KSR65597 LCN65590:LCN65597 LMJ65590:LMJ65597 LWF65590:LWF65597 MGB65590:MGB65597 MPX65590:MPX65597 MZT65590:MZT65597 NJP65590:NJP65597 NTL65590:NTL65597 ODH65590:ODH65597 OND65590:OND65597 OWZ65590:OWZ65597 PGV65590:PGV65597 PQR65590:PQR65597 QAN65590:QAN65597 QKJ65590:QKJ65597 QUF65590:QUF65597 REB65590:REB65597 RNX65590:RNX65597 RXT65590:RXT65597 SHP65590:SHP65597 SRL65590:SRL65597 TBH65590:TBH65597 TLD65590:TLD65597 TUZ65590:TUZ65597 UEV65590:UEV65597 UOR65590:UOR65597 UYN65590:UYN65597 VIJ65590:VIJ65597 VSF65590:VSF65597 WCB65590:WCB65597 WLX65590:WLX65597 WVT65590:WVT65597 L131126:L131133 JH131126:JH131133 TD131126:TD131133 ACZ131126:ACZ131133 AMV131126:AMV131133 AWR131126:AWR131133 BGN131126:BGN131133 BQJ131126:BQJ131133 CAF131126:CAF131133 CKB131126:CKB131133 CTX131126:CTX131133 DDT131126:DDT131133 DNP131126:DNP131133 DXL131126:DXL131133 EHH131126:EHH131133 ERD131126:ERD131133 FAZ131126:FAZ131133 FKV131126:FKV131133 FUR131126:FUR131133 GEN131126:GEN131133 GOJ131126:GOJ131133 GYF131126:GYF131133 HIB131126:HIB131133 HRX131126:HRX131133 IBT131126:IBT131133 ILP131126:ILP131133 IVL131126:IVL131133 JFH131126:JFH131133 JPD131126:JPD131133 JYZ131126:JYZ131133 KIV131126:KIV131133 KSR131126:KSR131133 LCN131126:LCN131133 LMJ131126:LMJ131133 LWF131126:LWF131133 MGB131126:MGB131133 MPX131126:MPX131133 MZT131126:MZT131133 NJP131126:NJP131133 NTL131126:NTL131133 ODH131126:ODH131133 OND131126:OND131133 OWZ131126:OWZ131133 PGV131126:PGV131133 PQR131126:PQR131133 QAN131126:QAN131133 QKJ131126:QKJ131133 QUF131126:QUF131133 REB131126:REB131133 RNX131126:RNX131133 RXT131126:RXT131133 SHP131126:SHP131133 SRL131126:SRL131133 TBH131126:TBH131133 TLD131126:TLD131133 TUZ131126:TUZ131133 UEV131126:UEV131133 UOR131126:UOR131133 UYN131126:UYN131133 VIJ131126:VIJ131133 VSF131126:VSF131133 WCB131126:WCB131133 WLX131126:WLX131133 WVT131126:WVT131133 L196662:L196669 JH196662:JH196669 TD196662:TD196669 ACZ196662:ACZ196669 AMV196662:AMV196669 AWR196662:AWR196669 BGN196662:BGN196669 BQJ196662:BQJ196669 CAF196662:CAF196669 CKB196662:CKB196669 CTX196662:CTX196669 DDT196662:DDT196669 DNP196662:DNP196669 DXL196662:DXL196669 EHH196662:EHH196669 ERD196662:ERD196669 FAZ196662:FAZ196669 FKV196662:FKV196669 FUR196662:FUR196669 GEN196662:GEN196669 GOJ196662:GOJ196669 GYF196662:GYF196669 HIB196662:HIB196669 HRX196662:HRX196669 IBT196662:IBT196669 ILP196662:ILP196669 IVL196662:IVL196669 JFH196662:JFH196669 JPD196662:JPD196669 JYZ196662:JYZ196669 KIV196662:KIV196669 KSR196662:KSR196669 LCN196662:LCN196669 LMJ196662:LMJ196669 LWF196662:LWF196669 MGB196662:MGB196669 MPX196662:MPX196669 MZT196662:MZT196669 NJP196662:NJP196669 NTL196662:NTL196669 ODH196662:ODH196669 OND196662:OND196669 OWZ196662:OWZ196669 PGV196662:PGV196669 PQR196662:PQR196669 QAN196662:QAN196669 QKJ196662:QKJ196669 QUF196662:QUF196669 REB196662:REB196669 RNX196662:RNX196669 RXT196662:RXT196669 SHP196662:SHP196669 SRL196662:SRL196669 TBH196662:TBH196669 TLD196662:TLD196669 TUZ196662:TUZ196669 UEV196662:UEV196669 UOR196662:UOR196669 UYN196662:UYN196669 VIJ196662:VIJ196669 VSF196662:VSF196669 WCB196662:WCB196669 WLX196662:WLX196669 WVT196662:WVT196669 L262198:L262205 JH262198:JH262205 TD262198:TD262205 ACZ262198:ACZ262205 AMV262198:AMV262205 AWR262198:AWR262205 BGN262198:BGN262205 BQJ262198:BQJ262205 CAF262198:CAF262205 CKB262198:CKB262205 CTX262198:CTX262205 DDT262198:DDT262205 DNP262198:DNP262205 DXL262198:DXL262205 EHH262198:EHH262205 ERD262198:ERD262205 FAZ262198:FAZ262205 FKV262198:FKV262205 FUR262198:FUR262205 GEN262198:GEN262205 GOJ262198:GOJ262205 GYF262198:GYF262205 HIB262198:HIB262205 HRX262198:HRX262205 IBT262198:IBT262205 ILP262198:ILP262205 IVL262198:IVL262205 JFH262198:JFH262205 JPD262198:JPD262205 JYZ262198:JYZ262205 KIV262198:KIV262205 KSR262198:KSR262205 LCN262198:LCN262205 LMJ262198:LMJ262205 LWF262198:LWF262205 MGB262198:MGB262205 MPX262198:MPX262205 MZT262198:MZT262205 NJP262198:NJP262205 NTL262198:NTL262205 ODH262198:ODH262205 OND262198:OND262205 OWZ262198:OWZ262205 PGV262198:PGV262205 PQR262198:PQR262205 QAN262198:QAN262205 QKJ262198:QKJ262205 QUF262198:QUF262205 REB262198:REB262205 RNX262198:RNX262205 RXT262198:RXT262205 SHP262198:SHP262205 SRL262198:SRL262205 TBH262198:TBH262205 TLD262198:TLD262205 TUZ262198:TUZ262205 UEV262198:UEV262205 UOR262198:UOR262205 UYN262198:UYN262205 VIJ262198:VIJ262205 VSF262198:VSF262205 WCB262198:WCB262205 WLX262198:WLX262205 WVT262198:WVT262205 L327734:L327741 JH327734:JH327741 TD327734:TD327741 ACZ327734:ACZ327741 AMV327734:AMV327741 AWR327734:AWR327741 BGN327734:BGN327741 BQJ327734:BQJ327741 CAF327734:CAF327741 CKB327734:CKB327741 CTX327734:CTX327741 DDT327734:DDT327741 DNP327734:DNP327741 DXL327734:DXL327741 EHH327734:EHH327741 ERD327734:ERD327741 FAZ327734:FAZ327741 FKV327734:FKV327741 FUR327734:FUR327741 GEN327734:GEN327741 GOJ327734:GOJ327741 GYF327734:GYF327741 HIB327734:HIB327741 HRX327734:HRX327741 IBT327734:IBT327741 ILP327734:ILP327741 IVL327734:IVL327741 JFH327734:JFH327741 JPD327734:JPD327741 JYZ327734:JYZ327741 KIV327734:KIV327741 KSR327734:KSR327741 LCN327734:LCN327741 LMJ327734:LMJ327741 LWF327734:LWF327741 MGB327734:MGB327741 MPX327734:MPX327741 MZT327734:MZT327741 NJP327734:NJP327741 NTL327734:NTL327741 ODH327734:ODH327741 OND327734:OND327741 OWZ327734:OWZ327741 PGV327734:PGV327741 PQR327734:PQR327741 QAN327734:QAN327741 QKJ327734:QKJ327741 QUF327734:QUF327741 REB327734:REB327741 RNX327734:RNX327741 RXT327734:RXT327741 SHP327734:SHP327741 SRL327734:SRL327741 TBH327734:TBH327741 TLD327734:TLD327741 TUZ327734:TUZ327741 UEV327734:UEV327741 UOR327734:UOR327741 UYN327734:UYN327741 VIJ327734:VIJ327741 VSF327734:VSF327741 WCB327734:WCB327741 WLX327734:WLX327741 WVT327734:WVT327741 L393270:L393277 JH393270:JH393277 TD393270:TD393277 ACZ393270:ACZ393277 AMV393270:AMV393277 AWR393270:AWR393277 BGN393270:BGN393277 BQJ393270:BQJ393277 CAF393270:CAF393277 CKB393270:CKB393277 CTX393270:CTX393277 DDT393270:DDT393277 DNP393270:DNP393277 DXL393270:DXL393277 EHH393270:EHH393277 ERD393270:ERD393277 FAZ393270:FAZ393277 FKV393270:FKV393277 FUR393270:FUR393277 GEN393270:GEN393277 GOJ393270:GOJ393277 GYF393270:GYF393277 HIB393270:HIB393277 HRX393270:HRX393277 IBT393270:IBT393277 ILP393270:ILP393277 IVL393270:IVL393277 JFH393270:JFH393277 JPD393270:JPD393277 JYZ393270:JYZ393277 KIV393270:KIV393277 KSR393270:KSR393277 LCN393270:LCN393277 LMJ393270:LMJ393277 LWF393270:LWF393277 MGB393270:MGB393277 MPX393270:MPX393277 MZT393270:MZT393277 NJP393270:NJP393277 NTL393270:NTL393277 ODH393270:ODH393277 OND393270:OND393277 OWZ393270:OWZ393277 PGV393270:PGV393277 PQR393270:PQR393277 QAN393270:QAN393277 QKJ393270:QKJ393277 QUF393270:QUF393277 REB393270:REB393277 RNX393270:RNX393277 RXT393270:RXT393277 SHP393270:SHP393277 SRL393270:SRL393277 TBH393270:TBH393277 TLD393270:TLD393277 TUZ393270:TUZ393277 UEV393270:UEV393277 UOR393270:UOR393277 UYN393270:UYN393277 VIJ393270:VIJ393277 VSF393270:VSF393277 WCB393270:WCB393277 WLX393270:WLX393277 WVT393270:WVT393277 L458806:L458813 JH458806:JH458813 TD458806:TD458813 ACZ458806:ACZ458813 AMV458806:AMV458813 AWR458806:AWR458813 BGN458806:BGN458813 BQJ458806:BQJ458813 CAF458806:CAF458813 CKB458806:CKB458813 CTX458806:CTX458813 DDT458806:DDT458813 DNP458806:DNP458813 DXL458806:DXL458813 EHH458806:EHH458813 ERD458806:ERD458813 FAZ458806:FAZ458813 FKV458806:FKV458813 FUR458806:FUR458813 GEN458806:GEN458813 GOJ458806:GOJ458813 GYF458806:GYF458813 HIB458806:HIB458813 HRX458806:HRX458813 IBT458806:IBT458813 ILP458806:ILP458813 IVL458806:IVL458813 JFH458806:JFH458813 JPD458806:JPD458813 JYZ458806:JYZ458813 KIV458806:KIV458813 KSR458806:KSR458813 LCN458806:LCN458813 LMJ458806:LMJ458813 LWF458806:LWF458813 MGB458806:MGB458813 MPX458806:MPX458813 MZT458806:MZT458813 NJP458806:NJP458813 NTL458806:NTL458813 ODH458806:ODH458813 OND458806:OND458813 OWZ458806:OWZ458813 PGV458806:PGV458813 PQR458806:PQR458813 QAN458806:QAN458813 QKJ458806:QKJ458813 QUF458806:QUF458813 REB458806:REB458813 RNX458806:RNX458813 RXT458806:RXT458813 SHP458806:SHP458813 SRL458806:SRL458813 TBH458806:TBH458813 TLD458806:TLD458813 TUZ458806:TUZ458813 UEV458806:UEV458813 UOR458806:UOR458813 UYN458806:UYN458813 VIJ458806:VIJ458813 VSF458806:VSF458813 WCB458806:WCB458813 WLX458806:WLX458813 WVT458806:WVT458813 L524342:L524349 JH524342:JH524349 TD524342:TD524349 ACZ524342:ACZ524349 AMV524342:AMV524349 AWR524342:AWR524349 BGN524342:BGN524349 BQJ524342:BQJ524349 CAF524342:CAF524349 CKB524342:CKB524349 CTX524342:CTX524349 DDT524342:DDT524349 DNP524342:DNP524349 DXL524342:DXL524349 EHH524342:EHH524349 ERD524342:ERD524349 FAZ524342:FAZ524349 FKV524342:FKV524349 FUR524342:FUR524349 GEN524342:GEN524349 GOJ524342:GOJ524349 GYF524342:GYF524349 HIB524342:HIB524349 HRX524342:HRX524349 IBT524342:IBT524349 ILP524342:ILP524349 IVL524342:IVL524349 JFH524342:JFH524349 JPD524342:JPD524349 JYZ524342:JYZ524349 KIV524342:KIV524349 KSR524342:KSR524349 LCN524342:LCN524349 LMJ524342:LMJ524349 LWF524342:LWF524349 MGB524342:MGB524349 MPX524342:MPX524349 MZT524342:MZT524349 NJP524342:NJP524349 NTL524342:NTL524349 ODH524342:ODH524349 OND524342:OND524349 OWZ524342:OWZ524349 PGV524342:PGV524349 PQR524342:PQR524349 QAN524342:QAN524349 QKJ524342:QKJ524349 QUF524342:QUF524349 REB524342:REB524349 RNX524342:RNX524349 RXT524342:RXT524349 SHP524342:SHP524349 SRL524342:SRL524349 TBH524342:TBH524349 TLD524342:TLD524349 TUZ524342:TUZ524349 UEV524342:UEV524349 UOR524342:UOR524349 UYN524342:UYN524349 VIJ524342:VIJ524349 VSF524342:VSF524349 WCB524342:WCB524349 WLX524342:WLX524349 WVT524342:WVT524349 L589878:L589885 JH589878:JH589885 TD589878:TD589885 ACZ589878:ACZ589885 AMV589878:AMV589885 AWR589878:AWR589885 BGN589878:BGN589885 BQJ589878:BQJ589885 CAF589878:CAF589885 CKB589878:CKB589885 CTX589878:CTX589885 DDT589878:DDT589885 DNP589878:DNP589885 DXL589878:DXL589885 EHH589878:EHH589885 ERD589878:ERD589885 FAZ589878:FAZ589885 FKV589878:FKV589885 FUR589878:FUR589885 GEN589878:GEN589885 GOJ589878:GOJ589885 GYF589878:GYF589885 HIB589878:HIB589885 HRX589878:HRX589885 IBT589878:IBT589885 ILP589878:ILP589885 IVL589878:IVL589885 JFH589878:JFH589885 JPD589878:JPD589885 JYZ589878:JYZ589885 KIV589878:KIV589885 KSR589878:KSR589885 LCN589878:LCN589885 LMJ589878:LMJ589885 LWF589878:LWF589885 MGB589878:MGB589885 MPX589878:MPX589885 MZT589878:MZT589885 NJP589878:NJP589885 NTL589878:NTL589885 ODH589878:ODH589885 OND589878:OND589885 OWZ589878:OWZ589885 PGV589878:PGV589885 PQR589878:PQR589885 QAN589878:QAN589885 QKJ589878:QKJ589885 QUF589878:QUF589885 REB589878:REB589885 RNX589878:RNX589885 RXT589878:RXT589885 SHP589878:SHP589885 SRL589878:SRL589885 TBH589878:TBH589885 TLD589878:TLD589885 TUZ589878:TUZ589885 UEV589878:UEV589885 UOR589878:UOR589885 UYN589878:UYN589885 VIJ589878:VIJ589885 VSF589878:VSF589885 WCB589878:WCB589885 WLX589878:WLX589885 WVT589878:WVT589885 L655414:L655421 JH655414:JH655421 TD655414:TD655421 ACZ655414:ACZ655421 AMV655414:AMV655421 AWR655414:AWR655421 BGN655414:BGN655421 BQJ655414:BQJ655421 CAF655414:CAF655421 CKB655414:CKB655421 CTX655414:CTX655421 DDT655414:DDT655421 DNP655414:DNP655421 DXL655414:DXL655421 EHH655414:EHH655421 ERD655414:ERD655421 FAZ655414:FAZ655421 FKV655414:FKV655421 FUR655414:FUR655421 GEN655414:GEN655421 GOJ655414:GOJ655421 GYF655414:GYF655421 HIB655414:HIB655421 HRX655414:HRX655421 IBT655414:IBT655421 ILP655414:ILP655421 IVL655414:IVL655421 JFH655414:JFH655421 JPD655414:JPD655421 JYZ655414:JYZ655421 KIV655414:KIV655421 KSR655414:KSR655421 LCN655414:LCN655421 LMJ655414:LMJ655421 LWF655414:LWF655421 MGB655414:MGB655421 MPX655414:MPX655421 MZT655414:MZT655421 NJP655414:NJP655421 NTL655414:NTL655421 ODH655414:ODH655421 OND655414:OND655421 OWZ655414:OWZ655421 PGV655414:PGV655421 PQR655414:PQR655421 QAN655414:QAN655421 QKJ655414:QKJ655421 QUF655414:QUF655421 REB655414:REB655421 RNX655414:RNX655421 RXT655414:RXT655421 SHP655414:SHP655421 SRL655414:SRL655421 TBH655414:TBH655421 TLD655414:TLD655421 TUZ655414:TUZ655421 UEV655414:UEV655421 UOR655414:UOR655421 UYN655414:UYN655421 VIJ655414:VIJ655421 VSF655414:VSF655421 WCB655414:WCB655421 WLX655414:WLX655421 WVT655414:WVT655421 L720950:L720957 JH720950:JH720957 TD720950:TD720957 ACZ720950:ACZ720957 AMV720950:AMV720957 AWR720950:AWR720957 BGN720950:BGN720957 BQJ720950:BQJ720957 CAF720950:CAF720957 CKB720950:CKB720957 CTX720950:CTX720957 DDT720950:DDT720957 DNP720950:DNP720957 DXL720950:DXL720957 EHH720950:EHH720957 ERD720950:ERD720957 FAZ720950:FAZ720957 FKV720950:FKV720957 FUR720950:FUR720957 GEN720950:GEN720957 GOJ720950:GOJ720957 GYF720950:GYF720957 HIB720950:HIB720957 HRX720950:HRX720957 IBT720950:IBT720957 ILP720950:ILP720957 IVL720950:IVL720957 JFH720950:JFH720957 JPD720950:JPD720957 JYZ720950:JYZ720957 KIV720950:KIV720957 KSR720950:KSR720957 LCN720950:LCN720957 LMJ720950:LMJ720957 LWF720950:LWF720957 MGB720950:MGB720957 MPX720950:MPX720957 MZT720950:MZT720957 NJP720950:NJP720957 NTL720950:NTL720957 ODH720950:ODH720957 OND720950:OND720957 OWZ720950:OWZ720957 PGV720950:PGV720957 PQR720950:PQR720957 QAN720950:QAN720957 QKJ720950:QKJ720957 QUF720950:QUF720957 REB720950:REB720957 RNX720950:RNX720957 RXT720950:RXT720957 SHP720950:SHP720957 SRL720950:SRL720957 TBH720950:TBH720957 TLD720950:TLD720957 TUZ720950:TUZ720957 UEV720950:UEV720957 UOR720950:UOR720957 UYN720950:UYN720957 VIJ720950:VIJ720957 VSF720950:VSF720957 WCB720950:WCB720957 WLX720950:WLX720957 WVT720950:WVT720957 L786486:L786493 JH786486:JH786493 TD786486:TD786493 ACZ786486:ACZ786493 AMV786486:AMV786493 AWR786486:AWR786493 BGN786486:BGN786493 BQJ786486:BQJ786493 CAF786486:CAF786493 CKB786486:CKB786493 CTX786486:CTX786493 DDT786486:DDT786493 DNP786486:DNP786493 DXL786486:DXL786493 EHH786486:EHH786493 ERD786486:ERD786493 FAZ786486:FAZ786493 FKV786486:FKV786493 FUR786486:FUR786493 GEN786486:GEN786493 GOJ786486:GOJ786493 GYF786486:GYF786493 HIB786486:HIB786493 HRX786486:HRX786493 IBT786486:IBT786493 ILP786486:ILP786493 IVL786486:IVL786493 JFH786486:JFH786493 JPD786486:JPD786493 JYZ786486:JYZ786493 KIV786486:KIV786493 KSR786486:KSR786493 LCN786486:LCN786493 LMJ786486:LMJ786493 LWF786486:LWF786493 MGB786486:MGB786493 MPX786486:MPX786493 MZT786486:MZT786493 NJP786486:NJP786493 NTL786486:NTL786493 ODH786486:ODH786493 OND786486:OND786493 OWZ786486:OWZ786493 PGV786486:PGV786493 PQR786486:PQR786493 QAN786486:QAN786493 QKJ786486:QKJ786493 QUF786486:QUF786493 REB786486:REB786493 RNX786486:RNX786493 RXT786486:RXT786493 SHP786486:SHP786493 SRL786486:SRL786493 TBH786486:TBH786493 TLD786486:TLD786493 TUZ786486:TUZ786493 UEV786486:UEV786493 UOR786486:UOR786493 UYN786486:UYN786493 VIJ786486:VIJ786493 VSF786486:VSF786493 WCB786486:WCB786493 WLX786486:WLX786493 WVT786486:WVT786493 L852022:L852029 JH852022:JH852029 TD852022:TD852029 ACZ852022:ACZ852029 AMV852022:AMV852029 AWR852022:AWR852029 BGN852022:BGN852029 BQJ852022:BQJ852029 CAF852022:CAF852029 CKB852022:CKB852029 CTX852022:CTX852029 DDT852022:DDT852029 DNP852022:DNP852029 DXL852022:DXL852029 EHH852022:EHH852029 ERD852022:ERD852029 FAZ852022:FAZ852029 FKV852022:FKV852029 FUR852022:FUR852029 GEN852022:GEN852029 GOJ852022:GOJ852029 GYF852022:GYF852029 HIB852022:HIB852029 HRX852022:HRX852029 IBT852022:IBT852029 ILP852022:ILP852029 IVL852022:IVL852029 JFH852022:JFH852029 JPD852022:JPD852029 JYZ852022:JYZ852029 KIV852022:KIV852029 KSR852022:KSR852029 LCN852022:LCN852029 LMJ852022:LMJ852029 LWF852022:LWF852029 MGB852022:MGB852029 MPX852022:MPX852029 MZT852022:MZT852029 NJP852022:NJP852029 NTL852022:NTL852029 ODH852022:ODH852029 OND852022:OND852029 OWZ852022:OWZ852029 PGV852022:PGV852029 PQR852022:PQR852029 QAN852022:QAN852029 QKJ852022:QKJ852029 QUF852022:QUF852029 REB852022:REB852029 RNX852022:RNX852029 RXT852022:RXT852029 SHP852022:SHP852029 SRL852022:SRL852029 TBH852022:TBH852029 TLD852022:TLD852029 TUZ852022:TUZ852029 UEV852022:UEV852029 UOR852022:UOR852029 UYN852022:UYN852029 VIJ852022:VIJ852029 VSF852022:VSF852029 WCB852022:WCB852029 WLX852022:WLX852029 WVT852022:WVT852029 L917558:L917565 JH917558:JH917565 TD917558:TD917565 ACZ917558:ACZ917565 AMV917558:AMV917565 AWR917558:AWR917565 BGN917558:BGN917565 BQJ917558:BQJ917565 CAF917558:CAF917565 CKB917558:CKB917565 CTX917558:CTX917565 DDT917558:DDT917565 DNP917558:DNP917565 DXL917558:DXL917565 EHH917558:EHH917565 ERD917558:ERD917565 FAZ917558:FAZ917565 FKV917558:FKV917565 FUR917558:FUR917565 GEN917558:GEN917565 GOJ917558:GOJ917565 GYF917558:GYF917565 HIB917558:HIB917565 HRX917558:HRX917565 IBT917558:IBT917565 ILP917558:ILP917565 IVL917558:IVL917565 JFH917558:JFH917565 JPD917558:JPD917565 JYZ917558:JYZ917565 KIV917558:KIV917565 KSR917558:KSR917565 LCN917558:LCN917565 LMJ917558:LMJ917565 LWF917558:LWF917565 MGB917558:MGB917565 MPX917558:MPX917565 MZT917558:MZT917565 NJP917558:NJP917565 NTL917558:NTL917565 ODH917558:ODH917565 OND917558:OND917565 OWZ917558:OWZ917565 PGV917558:PGV917565 PQR917558:PQR917565 QAN917558:QAN917565 QKJ917558:QKJ917565 QUF917558:QUF917565 REB917558:REB917565 RNX917558:RNX917565 RXT917558:RXT917565 SHP917558:SHP917565 SRL917558:SRL917565 TBH917558:TBH917565 TLD917558:TLD917565 TUZ917558:TUZ917565 UEV917558:UEV917565 UOR917558:UOR917565 UYN917558:UYN917565 VIJ917558:VIJ917565 VSF917558:VSF917565 WCB917558:WCB917565 WLX917558:WLX917565 WVT917558:WVT917565 L983094:L983101 JH983094:JH983101 TD983094:TD983101 ACZ983094:ACZ983101 AMV983094:AMV983101 AWR983094:AWR983101 BGN983094:BGN983101 BQJ983094:BQJ983101 CAF983094:CAF983101 CKB983094:CKB983101 CTX983094:CTX983101 DDT983094:DDT983101 DNP983094:DNP983101 DXL983094:DXL983101 EHH983094:EHH983101 ERD983094:ERD983101 FAZ983094:FAZ983101 FKV983094:FKV983101 FUR983094:FUR983101 GEN983094:GEN983101 GOJ983094:GOJ983101 GYF983094:GYF983101 HIB983094:HIB983101 HRX983094:HRX983101 IBT983094:IBT983101 ILP983094:ILP983101 IVL983094:IVL983101 JFH983094:JFH983101 JPD983094:JPD983101 JYZ983094:JYZ983101 KIV983094:KIV983101 KSR983094:KSR983101 LCN983094:LCN983101 LMJ983094:LMJ983101 LWF983094:LWF983101 MGB983094:MGB983101 MPX983094:MPX983101 MZT983094:MZT983101 NJP983094:NJP983101 NTL983094:NTL983101 ODH983094:ODH983101 OND983094:OND983101 OWZ983094:OWZ983101 PGV983094:PGV983101 PQR983094:PQR983101 QAN983094:QAN983101 QKJ983094:QKJ983101 QUF983094:QUF983101 REB983094:REB983101 RNX983094:RNX983101 RXT983094:RXT983101 SHP983094:SHP983101 SRL983094:SRL983101 TBH983094:TBH983101 TLD983094:TLD983101 TUZ983094:TUZ983101 UEV983094:UEV983101 UOR983094:UOR983101 UYN983094:UYN983101 VIJ983094:VIJ983101 VSF983094:VSF983101 WCB983094:WCB983101 WLX983094:WLX983101 WVT983094:WVT983101">
      <formula1>$H$166:$H$171</formula1>
    </dataValidation>
    <dataValidation type="list" allowBlank="1" showInputMessage="1" showErrorMessage="1" sqref="K65604:K65642 K102:K107 JG102:JG107 TC102:TC107 ACY102:ACY107 AMU102:AMU107 AWQ102:AWQ107 BGM102:BGM107 BQI102:BQI107 CAE102:CAE107 CKA102:CKA107 CTW102:CTW107 DDS102:DDS107 DNO102:DNO107 DXK102:DXK107 EHG102:EHG107 ERC102:ERC107 FAY102:FAY107 FKU102:FKU107 FUQ102:FUQ107 GEM102:GEM107 GOI102:GOI107 GYE102:GYE107 HIA102:HIA107 HRW102:HRW107 IBS102:IBS107 ILO102:ILO107 IVK102:IVK107 JFG102:JFG107 JPC102:JPC107 JYY102:JYY107 KIU102:KIU107 KSQ102:KSQ107 LCM102:LCM107 LMI102:LMI107 LWE102:LWE107 MGA102:MGA107 MPW102:MPW107 MZS102:MZS107 NJO102:NJO107 NTK102:NTK107 ODG102:ODG107 ONC102:ONC107 OWY102:OWY107 PGU102:PGU107 PQQ102:PQQ107 QAM102:QAM107 QKI102:QKI107 QUE102:QUE107 REA102:REA107 RNW102:RNW107 RXS102:RXS107 SHO102:SHO107 SRK102:SRK107 TBG102:TBG107 TLC102:TLC107 TUY102:TUY107 UEU102:UEU107 UOQ102:UOQ107 UYM102:UYM107 VII102:VII107 VSE102:VSE107 WCA102:WCA107 WLW102:WLW107 WVS102:WVS107 JG65604:JG65642 TC65604:TC65642 ACY65604:ACY65642 AMU65604:AMU65642 AWQ65604:AWQ65642 BGM65604:BGM65642 BQI65604:BQI65642 CAE65604:CAE65642 CKA65604:CKA65642 CTW65604:CTW65642 DDS65604:DDS65642 DNO65604:DNO65642 DXK65604:DXK65642 EHG65604:EHG65642 ERC65604:ERC65642 FAY65604:FAY65642 FKU65604:FKU65642 FUQ65604:FUQ65642 GEM65604:GEM65642 GOI65604:GOI65642 GYE65604:GYE65642 HIA65604:HIA65642 HRW65604:HRW65642 IBS65604:IBS65642 ILO65604:ILO65642 IVK65604:IVK65642 JFG65604:JFG65642 JPC65604:JPC65642 JYY65604:JYY65642 KIU65604:KIU65642 KSQ65604:KSQ65642 LCM65604:LCM65642 LMI65604:LMI65642 LWE65604:LWE65642 MGA65604:MGA65642 MPW65604:MPW65642 MZS65604:MZS65642 NJO65604:NJO65642 NTK65604:NTK65642 ODG65604:ODG65642 ONC65604:ONC65642 OWY65604:OWY65642 PGU65604:PGU65642 PQQ65604:PQQ65642 QAM65604:QAM65642 QKI65604:QKI65642 QUE65604:QUE65642 REA65604:REA65642 RNW65604:RNW65642 RXS65604:RXS65642 SHO65604:SHO65642 SRK65604:SRK65642 TBG65604:TBG65642 TLC65604:TLC65642 TUY65604:TUY65642 UEU65604:UEU65642 UOQ65604:UOQ65642 UYM65604:UYM65642 VII65604:VII65642 VSE65604:VSE65642 WCA65604:WCA65642 WLW65604:WLW65642 WVS65604:WVS65642 K131140:K131178 JG131140:JG131178 TC131140:TC131178 ACY131140:ACY131178 AMU131140:AMU131178 AWQ131140:AWQ131178 BGM131140:BGM131178 BQI131140:BQI131178 CAE131140:CAE131178 CKA131140:CKA131178 CTW131140:CTW131178 DDS131140:DDS131178 DNO131140:DNO131178 DXK131140:DXK131178 EHG131140:EHG131178 ERC131140:ERC131178 FAY131140:FAY131178 FKU131140:FKU131178 FUQ131140:FUQ131178 GEM131140:GEM131178 GOI131140:GOI131178 GYE131140:GYE131178 HIA131140:HIA131178 HRW131140:HRW131178 IBS131140:IBS131178 ILO131140:ILO131178 IVK131140:IVK131178 JFG131140:JFG131178 JPC131140:JPC131178 JYY131140:JYY131178 KIU131140:KIU131178 KSQ131140:KSQ131178 LCM131140:LCM131178 LMI131140:LMI131178 LWE131140:LWE131178 MGA131140:MGA131178 MPW131140:MPW131178 MZS131140:MZS131178 NJO131140:NJO131178 NTK131140:NTK131178 ODG131140:ODG131178 ONC131140:ONC131178 OWY131140:OWY131178 PGU131140:PGU131178 PQQ131140:PQQ131178 QAM131140:QAM131178 QKI131140:QKI131178 QUE131140:QUE131178 REA131140:REA131178 RNW131140:RNW131178 RXS131140:RXS131178 SHO131140:SHO131178 SRK131140:SRK131178 TBG131140:TBG131178 TLC131140:TLC131178 TUY131140:TUY131178 UEU131140:UEU131178 UOQ131140:UOQ131178 UYM131140:UYM131178 VII131140:VII131178 VSE131140:VSE131178 WCA131140:WCA131178 WLW131140:WLW131178 WVS131140:WVS131178 K196676:K196714 JG196676:JG196714 TC196676:TC196714 ACY196676:ACY196714 AMU196676:AMU196714 AWQ196676:AWQ196714 BGM196676:BGM196714 BQI196676:BQI196714 CAE196676:CAE196714 CKA196676:CKA196714 CTW196676:CTW196714 DDS196676:DDS196714 DNO196676:DNO196714 DXK196676:DXK196714 EHG196676:EHG196714 ERC196676:ERC196714 FAY196676:FAY196714 FKU196676:FKU196714 FUQ196676:FUQ196714 GEM196676:GEM196714 GOI196676:GOI196714 GYE196676:GYE196714 HIA196676:HIA196714 HRW196676:HRW196714 IBS196676:IBS196714 ILO196676:ILO196714 IVK196676:IVK196714 JFG196676:JFG196714 JPC196676:JPC196714 JYY196676:JYY196714 KIU196676:KIU196714 KSQ196676:KSQ196714 LCM196676:LCM196714 LMI196676:LMI196714 LWE196676:LWE196714 MGA196676:MGA196714 MPW196676:MPW196714 MZS196676:MZS196714 NJO196676:NJO196714 NTK196676:NTK196714 ODG196676:ODG196714 ONC196676:ONC196714 OWY196676:OWY196714 PGU196676:PGU196714 PQQ196676:PQQ196714 QAM196676:QAM196714 QKI196676:QKI196714 QUE196676:QUE196714 REA196676:REA196714 RNW196676:RNW196714 RXS196676:RXS196714 SHO196676:SHO196714 SRK196676:SRK196714 TBG196676:TBG196714 TLC196676:TLC196714 TUY196676:TUY196714 UEU196676:UEU196714 UOQ196676:UOQ196714 UYM196676:UYM196714 VII196676:VII196714 VSE196676:VSE196714 WCA196676:WCA196714 WLW196676:WLW196714 WVS196676:WVS196714 K262212:K262250 JG262212:JG262250 TC262212:TC262250 ACY262212:ACY262250 AMU262212:AMU262250 AWQ262212:AWQ262250 BGM262212:BGM262250 BQI262212:BQI262250 CAE262212:CAE262250 CKA262212:CKA262250 CTW262212:CTW262250 DDS262212:DDS262250 DNO262212:DNO262250 DXK262212:DXK262250 EHG262212:EHG262250 ERC262212:ERC262250 FAY262212:FAY262250 FKU262212:FKU262250 FUQ262212:FUQ262250 GEM262212:GEM262250 GOI262212:GOI262250 GYE262212:GYE262250 HIA262212:HIA262250 HRW262212:HRW262250 IBS262212:IBS262250 ILO262212:ILO262250 IVK262212:IVK262250 JFG262212:JFG262250 JPC262212:JPC262250 JYY262212:JYY262250 KIU262212:KIU262250 KSQ262212:KSQ262250 LCM262212:LCM262250 LMI262212:LMI262250 LWE262212:LWE262250 MGA262212:MGA262250 MPW262212:MPW262250 MZS262212:MZS262250 NJO262212:NJO262250 NTK262212:NTK262250 ODG262212:ODG262250 ONC262212:ONC262250 OWY262212:OWY262250 PGU262212:PGU262250 PQQ262212:PQQ262250 QAM262212:QAM262250 QKI262212:QKI262250 QUE262212:QUE262250 REA262212:REA262250 RNW262212:RNW262250 RXS262212:RXS262250 SHO262212:SHO262250 SRK262212:SRK262250 TBG262212:TBG262250 TLC262212:TLC262250 TUY262212:TUY262250 UEU262212:UEU262250 UOQ262212:UOQ262250 UYM262212:UYM262250 VII262212:VII262250 VSE262212:VSE262250 WCA262212:WCA262250 WLW262212:WLW262250 WVS262212:WVS262250 K327748:K327786 JG327748:JG327786 TC327748:TC327786 ACY327748:ACY327786 AMU327748:AMU327786 AWQ327748:AWQ327786 BGM327748:BGM327786 BQI327748:BQI327786 CAE327748:CAE327786 CKA327748:CKA327786 CTW327748:CTW327786 DDS327748:DDS327786 DNO327748:DNO327786 DXK327748:DXK327786 EHG327748:EHG327786 ERC327748:ERC327786 FAY327748:FAY327786 FKU327748:FKU327786 FUQ327748:FUQ327786 GEM327748:GEM327786 GOI327748:GOI327786 GYE327748:GYE327786 HIA327748:HIA327786 HRW327748:HRW327786 IBS327748:IBS327786 ILO327748:ILO327786 IVK327748:IVK327786 JFG327748:JFG327786 JPC327748:JPC327786 JYY327748:JYY327786 KIU327748:KIU327786 KSQ327748:KSQ327786 LCM327748:LCM327786 LMI327748:LMI327786 LWE327748:LWE327786 MGA327748:MGA327786 MPW327748:MPW327786 MZS327748:MZS327786 NJO327748:NJO327786 NTK327748:NTK327786 ODG327748:ODG327786 ONC327748:ONC327786 OWY327748:OWY327786 PGU327748:PGU327786 PQQ327748:PQQ327786 QAM327748:QAM327786 QKI327748:QKI327786 QUE327748:QUE327786 REA327748:REA327786 RNW327748:RNW327786 RXS327748:RXS327786 SHO327748:SHO327786 SRK327748:SRK327786 TBG327748:TBG327786 TLC327748:TLC327786 TUY327748:TUY327786 UEU327748:UEU327786 UOQ327748:UOQ327786 UYM327748:UYM327786 VII327748:VII327786 VSE327748:VSE327786 WCA327748:WCA327786 WLW327748:WLW327786 WVS327748:WVS327786 K393284:K393322 JG393284:JG393322 TC393284:TC393322 ACY393284:ACY393322 AMU393284:AMU393322 AWQ393284:AWQ393322 BGM393284:BGM393322 BQI393284:BQI393322 CAE393284:CAE393322 CKA393284:CKA393322 CTW393284:CTW393322 DDS393284:DDS393322 DNO393284:DNO393322 DXK393284:DXK393322 EHG393284:EHG393322 ERC393284:ERC393322 FAY393284:FAY393322 FKU393284:FKU393322 FUQ393284:FUQ393322 GEM393284:GEM393322 GOI393284:GOI393322 GYE393284:GYE393322 HIA393284:HIA393322 HRW393284:HRW393322 IBS393284:IBS393322 ILO393284:ILO393322 IVK393284:IVK393322 JFG393284:JFG393322 JPC393284:JPC393322 JYY393284:JYY393322 KIU393284:KIU393322 KSQ393284:KSQ393322 LCM393284:LCM393322 LMI393284:LMI393322 LWE393284:LWE393322 MGA393284:MGA393322 MPW393284:MPW393322 MZS393284:MZS393322 NJO393284:NJO393322 NTK393284:NTK393322 ODG393284:ODG393322 ONC393284:ONC393322 OWY393284:OWY393322 PGU393284:PGU393322 PQQ393284:PQQ393322 QAM393284:QAM393322 QKI393284:QKI393322 QUE393284:QUE393322 REA393284:REA393322 RNW393284:RNW393322 RXS393284:RXS393322 SHO393284:SHO393322 SRK393284:SRK393322 TBG393284:TBG393322 TLC393284:TLC393322 TUY393284:TUY393322 UEU393284:UEU393322 UOQ393284:UOQ393322 UYM393284:UYM393322 VII393284:VII393322 VSE393284:VSE393322 WCA393284:WCA393322 WLW393284:WLW393322 WVS393284:WVS393322 K458820:K458858 JG458820:JG458858 TC458820:TC458858 ACY458820:ACY458858 AMU458820:AMU458858 AWQ458820:AWQ458858 BGM458820:BGM458858 BQI458820:BQI458858 CAE458820:CAE458858 CKA458820:CKA458858 CTW458820:CTW458858 DDS458820:DDS458858 DNO458820:DNO458858 DXK458820:DXK458858 EHG458820:EHG458858 ERC458820:ERC458858 FAY458820:FAY458858 FKU458820:FKU458858 FUQ458820:FUQ458858 GEM458820:GEM458858 GOI458820:GOI458858 GYE458820:GYE458858 HIA458820:HIA458858 HRW458820:HRW458858 IBS458820:IBS458858 ILO458820:ILO458858 IVK458820:IVK458858 JFG458820:JFG458858 JPC458820:JPC458858 JYY458820:JYY458858 KIU458820:KIU458858 KSQ458820:KSQ458858 LCM458820:LCM458858 LMI458820:LMI458858 LWE458820:LWE458858 MGA458820:MGA458858 MPW458820:MPW458858 MZS458820:MZS458858 NJO458820:NJO458858 NTK458820:NTK458858 ODG458820:ODG458858 ONC458820:ONC458858 OWY458820:OWY458858 PGU458820:PGU458858 PQQ458820:PQQ458858 QAM458820:QAM458858 QKI458820:QKI458858 QUE458820:QUE458858 REA458820:REA458858 RNW458820:RNW458858 RXS458820:RXS458858 SHO458820:SHO458858 SRK458820:SRK458858 TBG458820:TBG458858 TLC458820:TLC458858 TUY458820:TUY458858 UEU458820:UEU458858 UOQ458820:UOQ458858 UYM458820:UYM458858 VII458820:VII458858 VSE458820:VSE458858 WCA458820:WCA458858 WLW458820:WLW458858 WVS458820:WVS458858 K524356:K524394 JG524356:JG524394 TC524356:TC524394 ACY524356:ACY524394 AMU524356:AMU524394 AWQ524356:AWQ524394 BGM524356:BGM524394 BQI524356:BQI524394 CAE524356:CAE524394 CKA524356:CKA524394 CTW524356:CTW524394 DDS524356:DDS524394 DNO524356:DNO524394 DXK524356:DXK524394 EHG524356:EHG524394 ERC524356:ERC524394 FAY524356:FAY524394 FKU524356:FKU524394 FUQ524356:FUQ524394 GEM524356:GEM524394 GOI524356:GOI524394 GYE524356:GYE524394 HIA524356:HIA524394 HRW524356:HRW524394 IBS524356:IBS524394 ILO524356:ILO524394 IVK524356:IVK524394 JFG524356:JFG524394 JPC524356:JPC524394 JYY524356:JYY524394 KIU524356:KIU524394 KSQ524356:KSQ524394 LCM524356:LCM524394 LMI524356:LMI524394 LWE524356:LWE524394 MGA524356:MGA524394 MPW524356:MPW524394 MZS524356:MZS524394 NJO524356:NJO524394 NTK524356:NTK524394 ODG524356:ODG524394 ONC524356:ONC524394 OWY524356:OWY524394 PGU524356:PGU524394 PQQ524356:PQQ524394 QAM524356:QAM524394 QKI524356:QKI524394 QUE524356:QUE524394 REA524356:REA524394 RNW524356:RNW524394 RXS524356:RXS524394 SHO524356:SHO524394 SRK524356:SRK524394 TBG524356:TBG524394 TLC524356:TLC524394 TUY524356:TUY524394 UEU524356:UEU524394 UOQ524356:UOQ524394 UYM524356:UYM524394 VII524356:VII524394 VSE524356:VSE524394 WCA524356:WCA524394 WLW524356:WLW524394 WVS524356:WVS524394 K589892:K589930 JG589892:JG589930 TC589892:TC589930 ACY589892:ACY589930 AMU589892:AMU589930 AWQ589892:AWQ589930 BGM589892:BGM589930 BQI589892:BQI589930 CAE589892:CAE589930 CKA589892:CKA589930 CTW589892:CTW589930 DDS589892:DDS589930 DNO589892:DNO589930 DXK589892:DXK589930 EHG589892:EHG589930 ERC589892:ERC589930 FAY589892:FAY589930 FKU589892:FKU589930 FUQ589892:FUQ589930 GEM589892:GEM589930 GOI589892:GOI589930 GYE589892:GYE589930 HIA589892:HIA589930 HRW589892:HRW589930 IBS589892:IBS589930 ILO589892:ILO589930 IVK589892:IVK589930 JFG589892:JFG589930 JPC589892:JPC589930 JYY589892:JYY589930 KIU589892:KIU589930 KSQ589892:KSQ589930 LCM589892:LCM589930 LMI589892:LMI589930 LWE589892:LWE589930 MGA589892:MGA589930 MPW589892:MPW589930 MZS589892:MZS589930 NJO589892:NJO589930 NTK589892:NTK589930 ODG589892:ODG589930 ONC589892:ONC589930 OWY589892:OWY589930 PGU589892:PGU589930 PQQ589892:PQQ589930 QAM589892:QAM589930 QKI589892:QKI589930 QUE589892:QUE589930 REA589892:REA589930 RNW589892:RNW589930 RXS589892:RXS589930 SHO589892:SHO589930 SRK589892:SRK589930 TBG589892:TBG589930 TLC589892:TLC589930 TUY589892:TUY589930 UEU589892:UEU589930 UOQ589892:UOQ589930 UYM589892:UYM589930 VII589892:VII589930 VSE589892:VSE589930 WCA589892:WCA589930 WLW589892:WLW589930 WVS589892:WVS589930 K655428:K655466 JG655428:JG655466 TC655428:TC655466 ACY655428:ACY655466 AMU655428:AMU655466 AWQ655428:AWQ655466 BGM655428:BGM655466 BQI655428:BQI655466 CAE655428:CAE655466 CKA655428:CKA655466 CTW655428:CTW655466 DDS655428:DDS655466 DNO655428:DNO655466 DXK655428:DXK655466 EHG655428:EHG655466 ERC655428:ERC655466 FAY655428:FAY655466 FKU655428:FKU655466 FUQ655428:FUQ655466 GEM655428:GEM655466 GOI655428:GOI655466 GYE655428:GYE655466 HIA655428:HIA655466 HRW655428:HRW655466 IBS655428:IBS655466 ILO655428:ILO655466 IVK655428:IVK655466 JFG655428:JFG655466 JPC655428:JPC655466 JYY655428:JYY655466 KIU655428:KIU655466 KSQ655428:KSQ655466 LCM655428:LCM655466 LMI655428:LMI655466 LWE655428:LWE655466 MGA655428:MGA655466 MPW655428:MPW655466 MZS655428:MZS655466 NJO655428:NJO655466 NTK655428:NTK655466 ODG655428:ODG655466 ONC655428:ONC655466 OWY655428:OWY655466 PGU655428:PGU655466 PQQ655428:PQQ655466 QAM655428:QAM655466 QKI655428:QKI655466 QUE655428:QUE655466 REA655428:REA655466 RNW655428:RNW655466 RXS655428:RXS655466 SHO655428:SHO655466 SRK655428:SRK655466 TBG655428:TBG655466 TLC655428:TLC655466 TUY655428:TUY655466 UEU655428:UEU655466 UOQ655428:UOQ655466 UYM655428:UYM655466 VII655428:VII655466 VSE655428:VSE655466 WCA655428:WCA655466 WLW655428:WLW655466 WVS655428:WVS655466 K720964:K721002 JG720964:JG721002 TC720964:TC721002 ACY720964:ACY721002 AMU720964:AMU721002 AWQ720964:AWQ721002 BGM720964:BGM721002 BQI720964:BQI721002 CAE720964:CAE721002 CKA720964:CKA721002 CTW720964:CTW721002 DDS720964:DDS721002 DNO720964:DNO721002 DXK720964:DXK721002 EHG720964:EHG721002 ERC720964:ERC721002 FAY720964:FAY721002 FKU720964:FKU721002 FUQ720964:FUQ721002 GEM720964:GEM721002 GOI720964:GOI721002 GYE720964:GYE721002 HIA720964:HIA721002 HRW720964:HRW721002 IBS720964:IBS721002 ILO720964:ILO721002 IVK720964:IVK721002 JFG720964:JFG721002 JPC720964:JPC721002 JYY720964:JYY721002 KIU720964:KIU721002 KSQ720964:KSQ721002 LCM720964:LCM721002 LMI720964:LMI721002 LWE720964:LWE721002 MGA720964:MGA721002 MPW720964:MPW721002 MZS720964:MZS721002 NJO720964:NJO721002 NTK720964:NTK721002 ODG720964:ODG721002 ONC720964:ONC721002 OWY720964:OWY721002 PGU720964:PGU721002 PQQ720964:PQQ721002 QAM720964:QAM721002 QKI720964:QKI721002 QUE720964:QUE721002 REA720964:REA721002 RNW720964:RNW721002 RXS720964:RXS721002 SHO720964:SHO721002 SRK720964:SRK721002 TBG720964:TBG721002 TLC720964:TLC721002 TUY720964:TUY721002 UEU720964:UEU721002 UOQ720964:UOQ721002 UYM720964:UYM721002 VII720964:VII721002 VSE720964:VSE721002 WCA720964:WCA721002 WLW720964:WLW721002 WVS720964:WVS721002 K786500:K786538 JG786500:JG786538 TC786500:TC786538 ACY786500:ACY786538 AMU786500:AMU786538 AWQ786500:AWQ786538 BGM786500:BGM786538 BQI786500:BQI786538 CAE786500:CAE786538 CKA786500:CKA786538 CTW786500:CTW786538 DDS786500:DDS786538 DNO786500:DNO786538 DXK786500:DXK786538 EHG786500:EHG786538 ERC786500:ERC786538 FAY786500:FAY786538 FKU786500:FKU786538 FUQ786500:FUQ786538 GEM786500:GEM786538 GOI786500:GOI786538 GYE786500:GYE786538 HIA786500:HIA786538 HRW786500:HRW786538 IBS786500:IBS786538 ILO786500:ILO786538 IVK786500:IVK786538 JFG786500:JFG786538 JPC786500:JPC786538 JYY786500:JYY786538 KIU786500:KIU786538 KSQ786500:KSQ786538 LCM786500:LCM786538 LMI786500:LMI786538 LWE786500:LWE786538 MGA786500:MGA786538 MPW786500:MPW786538 MZS786500:MZS786538 NJO786500:NJO786538 NTK786500:NTK786538 ODG786500:ODG786538 ONC786500:ONC786538 OWY786500:OWY786538 PGU786500:PGU786538 PQQ786500:PQQ786538 QAM786500:QAM786538 QKI786500:QKI786538 QUE786500:QUE786538 REA786500:REA786538 RNW786500:RNW786538 RXS786500:RXS786538 SHO786500:SHO786538 SRK786500:SRK786538 TBG786500:TBG786538 TLC786500:TLC786538 TUY786500:TUY786538 UEU786500:UEU786538 UOQ786500:UOQ786538 UYM786500:UYM786538 VII786500:VII786538 VSE786500:VSE786538 WCA786500:WCA786538 WLW786500:WLW786538 WVS786500:WVS786538 K852036:K852074 JG852036:JG852074 TC852036:TC852074 ACY852036:ACY852074 AMU852036:AMU852074 AWQ852036:AWQ852074 BGM852036:BGM852074 BQI852036:BQI852074 CAE852036:CAE852074 CKA852036:CKA852074 CTW852036:CTW852074 DDS852036:DDS852074 DNO852036:DNO852074 DXK852036:DXK852074 EHG852036:EHG852074 ERC852036:ERC852074 FAY852036:FAY852074 FKU852036:FKU852074 FUQ852036:FUQ852074 GEM852036:GEM852074 GOI852036:GOI852074 GYE852036:GYE852074 HIA852036:HIA852074 HRW852036:HRW852074 IBS852036:IBS852074 ILO852036:ILO852074 IVK852036:IVK852074 JFG852036:JFG852074 JPC852036:JPC852074 JYY852036:JYY852074 KIU852036:KIU852074 KSQ852036:KSQ852074 LCM852036:LCM852074 LMI852036:LMI852074 LWE852036:LWE852074 MGA852036:MGA852074 MPW852036:MPW852074 MZS852036:MZS852074 NJO852036:NJO852074 NTK852036:NTK852074 ODG852036:ODG852074 ONC852036:ONC852074 OWY852036:OWY852074 PGU852036:PGU852074 PQQ852036:PQQ852074 QAM852036:QAM852074 QKI852036:QKI852074 QUE852036:QUE852074 REA852036:REA852074 RNW852036:RNW852074 RXS852036:RXS852074 SHO852036:SHO852074 SRK852036:SRK852074 TBG852036:TBG852074 TLC852036:TLC852074 TUY852036:TUY852074 UEU852036:UEU852074 UOQ852036:UOQ852074 UYM852036:UYM852074 VII852036:VII852074 VSE852036:VSE852074 WCA852036:WCA852074 WLW852036:WLW852074 WVS852036:WVS852074 K917572:K917610 JG917572:JG917610 TC917572:TC917610 ACY917572:ACY917610 AMU917572:AMU917610 AWQ917572:AWQ917610 BGM917572:BGM917610 BQI917572:BQI917610 CAE917572:CAE917610 CKA917572:CKA917610 CTW917572:CTW917610 DDS917572:DDS917610 DNO917572:DNO917610 DXK917572:DXK917610 EHG917572:EHG917610 ERC917572:ERC917610 FAY917572:FAY917610 FKU917572:FKU917610 FUQ917572:FUQ917610 GEM917572:GEM917610 GOI917572:GOI917610 GYE917572:GYE917610 HIA917572:HIA917610 HRW917572:HRW917610 IBS917572:IBS917610 ILO917572:ILO917610 IVK917572:IVK917610 JFG917572:JFG917610 JPC917572:JPC917610 JYY917572:JYY917610 KIU917572:KIU917610 KSQ917572:KSQ917610 LCM917572:LCM917610 LMI917572:LMI917610 LWE917572:LWE917610 MGA917572:MGA917610 MPW917572:MPW917610 MZS917572:MZS917610 NJO917572:NJO917610 NTK917572:NTK917610 ODG917572:ODG917610 ONC917572:ONC917610 OWY917572:OWY917610 PGU917572:PGU917610 PQQ917572:PQQ917610 QAM917572:QAM917610 QKI917572:QKI917610 QUE917572:QUE917610 REA917572:REA917610 RNW917572:RNW917610 RXS917572:RXS917610 SHO917572:SHO917610 SRK917572:SRK917610 TBG917572:TBG917610 TLC917572:TLC917610 TUY917572:TUY917610 UEU917572:UEU917610 UOQ917572:UOQ917610 UYM917572:UYM917610 VII917572:VII917610 VSE917572:VSE917610 WCA917572:WCA917610 WLW917572:WLW917610 WVS917572:WVS917610 K983108:K983146 JG983108:JG983146 TC983108:TC983146 ACY983108:ACY983146 AMU983108:AMU983146 AWQ983108:AWQ983146 BGM983108:BGM983146 BQI983108:BQI983146 CAE983108:CAE983146 CKA983108:CKA983146 CTW983108:CTW983146 DDS983108:DDS983146 DNO983108:DNO983146 DXK983108:DXK983146 EHG983108:EHG983146 ERC983108:ERC983146 FAY983108:FAY983146 FKU983108:FKU983146 FUQ983108:FUQ983146 GEM983108:GEM983146 GOI983108:GOI983146 GYE983108:GYE983146 HIA983108:HIA983146 HRW983108:HRW983146 IBS983108:IBS983146 ILO983108:ILO983146 IVK983108:IVK983146 JFG983108:JFG983146 JPC983108:JPC983146 JYY983108:JYY983146 KIU983108:KIU983146 KSQ983108:KSQ983146 LCM983108:LCM983146 LMI983108:LMI983146 LWE983108:LWE983146 MGA983108:MGA983146 MPW983108:MPW983146 MZS983108:MZS983146 NJO983108:NJO983146 NTK983108:NTK983146 ODG983108:ODG983146 ONC983108:ONC983146 OWY983108:OWY983146 PGU983108:PGU983146 PQQ983108:PQQ983146 QAM983108:QAM983146 QKI983108:QKI983146 QUE983108:QUE983146 REA983108:REA983146 RNW983108:RNW983146 RXS983108:RXS983146 SHO983108:SHO983146 SRK983108:SRK983146 TBG983108:TBG983146 TLC983108:TLC983146 TUY983108:TUY983146 UEU983108:UEU983146 UOQ983108:UOQ983146 UYM983108:UYM983146 VII983108:VII983146 VSE983108:VSE983146 WCA983108:WCA983146 WLW983108:WLW983146 WVS983108:WVS983146 K92:K96 JG92:JG96 TC92:TC96 ACY92:ACY96 AMU92:AMU96 AWQ92:AWQ96 BGM92:BGM96 BQI92:BQI96 CAE92:CAE96 CKA92:CKA96 CTW92:CTW96 DDS92:DDS96 DNO92:DNO96 DXK92:DXK96 EHG92:EHG96 ERC92:ERC96 FAY92:FAY96 FKU92:FKU96 FUQ92:FUQ96 GEM92:GEM96 GOI92:GOI96 GYE92:GYE96 HIA92:HIA96 HRW92:HRW96 IBS92:IBS96 ILO92:ILO96 IVK92:IVK96 JFG92:JFG96 JPC92:JPC96 JYY92:JYY96 KIU92:KIU96 KSQ92:KSQ96 LCM92:LCM96 LMI92:LMI96 LWE92:LWE96 MGA92:MGA96 MPW92:MPW96 MZS92:MZS96 NJO92:NJO96 NTK92:NTK96 ODG92:ODG96 ONC92:ONC96 OWY92:OWY96 PGU92:PGU96 PQQ92:PQQ96 QAM92:QAM96 QKI92:QKI96 QUE92:QUE96 REA92:REA96 RNW92:RNW96 RXS92:RXS96 SHO92:SHO96 SRK92:SRK96 TBG92:TBG96 TLC92:TLC96 TUY92:TUY96 UEU92:UEU96 UOQ92:UOQ96 UYM92:UYM96 VII92:VII96 VSE92:VSE96 WCA92:WCA96 WLW92:WLW96 WVS92:WVS96 K65590:K65597 JG65590:JG65597 TC65590:TC65597 ACY65590:ACY65597 AMU65590:AMU65597 AWQ65590:AWQ65597 BGM65590:BGM65597 BQI65590:BQI65597 CAE65590:CAE65597 CKA65590:CKA65597 CTW65590:CTW65597 DDS65590:DDS65597 DNO65590:DNO65597 DXK65590:DXK65597 EHG65590:EHG65597 ERC65590:ERC65597 FAY65590:FAY65597 FKU65590:FKU65597 FUQ65590:FUQ65597 GEM65590:GEM65597 GOI65590:GOI65597 GYE65590:GYE65597 HIA65590:HIA65597 HRW65590:HRW65597 IBS65590:IBS65597 ILO65590:ILO65597 IVK65590:IVK65597 JFG65590:JFG65597 JPC65590:JPC65597 JYY65590:JYY65597 KIU65590:KIU65597 KSQ65590:KSQ65597 LCM65590:LCM65597 LMI65590:LMI65597 LWE65590:LWE65597 MGA65590:MGA65597 MPW65590:MPW65597 MZS65590:MZS65597 NJO65590:NJO65597 NTK65590:NTK65597 ODG65590:ODG65597 ONC65590:ONC65597 OWY65590:OWY65597 PGU65590:PGU65597 PQQ65590:PQQ65597 QAM65590:QAM65597 QKI65590:QKI65597 QUE65590:QUE65597 REA65590:REA65597 RNW65590:RNW65597 RXS65590:RXS65597 SHO65590:SHO65597 SRK65590:SRK65597 TBG65590:TBG65597 TLC65590:TLC65597 TUY65590:TUY65597 UEU65590:UEU65597 UOQ65590:UOQ65597 UYM65590:UYM65597 VII65590:VII65597 VSE65590:VSE65597 WCA65590:WCA65597 WLW65590:WLW65597 WVS65590:WVS65597 K131126:K131133 JG131126:JG131133 TC131126:TC131133 ACY131126:ACY131133 AMU131126:AMU131133 AWQ131126:AWQ131133 BGM131126:BGM131133 BQI131126:BQI131133 CAE131126:CAE131133 CKA131126:CKA131133 CTW131126:CTW131133 DDS131126:DDS131133 DNO131126:DNO131133 DXK131126:DXK131133 EHG131126:EHG131133 ERC131126:ERC131133 FAY131126:FAY131133 FKU131126:FKU131133 FUQ131126:FUQ131133 GEM131126:GEM131133 GOI131126:GOI131133 GYE131126:GYE131133 HIA131126:HIA131133 HRW131126:HRW131133 IBS131126:IBS131133 ILO131126:ILO131133 IVK131126:IVK131133 JFG131126:JFG131133 JPC131126:JPC131133 JYY131126:JYY131133 KIU131126:KIU131133 KSQ131126:KSQ131133 LCM131126:LCM131133 LMI131126:LMI131133 LWE131126:LWE131133 MGA131126:MGA131133 MPW131126:MPW131133 MZS131126:MZS131133 NJO131126:NJO131133 NTK131126:NTK131133 ODG131126:ODG131133 ONC131126:ONC131133 OWY131126:OWY131133 PGU131126:PGU131133 PQQ131126:PQQ131133 QAM131126:QAM131133 QKI131126:QKI131133 QUE131126:QUE131133 REA131126:REA131133 RNW131126:RNW131133 RXS131126:RXS131133 SHO131126:SHO131133 SRK131126:SRK131133 TBG131126:TBG131133 TLC131126:TLC131133 TUY131126:TUY131133 UEU131126:UEU131133 UOQ131126:UOQ131133 UYM131126:UYM131133 VII131126:VII131133 VSE131126:VSE131133 WCA131126:WCA131133 WLW131126:WLW131133 WVS131126:WVS131133 K196662:K196669 JG196662:JG196669 TC196662:TC196669 ACY196662:ACY196669 AMU196662:AMU196669 AWQ196662:AWQ196669 BGM196662:BGM196669 BQI196662:BQI196669 CAE196662:CAE196669 CKA196662:CKA196669 CTW196662:CTW196669 DDS196662:DDS196669 DNO196662:DNO196669 DXK196662:DXK196669 EHG196662:EHG196669 ERC196662:ERC196669 FAY196662:FAY196669 FKU196662:FKU196669 FUQ196662:FUQ196669 GEM196662:GEM196669 GOI196662:GOI196669 GYE196662:GYE196669 HIA196662:HIA196669 HRW196662:HRW196669 IBS196662:IBS196669 ILO196662:ILO196669 IVK196662:IVK196669 JFG196662:JFG196669 JPC196662:JPC196669 JYY196662:JYY196669 KIU196662:KIU196669 KSQ196662:KSQ196669 LCM196662:LCM196669 LMI196662:LMI196669 LWE196662:LWE196669 MGA196662:MGA196669 MPW196662:MPW196669 MZS196662:MZS196669 NJO196662:NJO196669 NTK196662:NTK196669 ODG196662:ODG196669 ONC196662:ONC196669 OWY196662:OWY196669 PGU196662:PGU196669 PQQ196662:PQQ196669 QAM196662:QAM196669 QKI196662:QKI196669 QUE196662:QUE196669 REA196662:REA196669 RNW196662:RNW196669 RXS196662:RXS196669 SHO196662:SHO196669 SRK196662:SRK196669 TBG196662:TBG196669 TLC196662:TLC196669 TUY196662:TUY196669 UEU196662:UEU196669 UOQ196662:UOQ196669 UYM196662:UYM196669 VII196662:VII196669 VSE196662:VSE196669 WCA196662:WCA196669 WLW196662:WLW196669 WVS196662:WVS196669 K262198:K262205 JG262198:JG262205 TC262198:TC262205 ACY262198:ACY262205 AMU262198:AMU262205 AWQ262198:AWQ262205 BGM262198:BGM262205 BQI262198:BQI262205 CAE262198:CAE262205 CKA262198:CKA262205 CTW262198:CTW262205 DDS262198:DDS262205 DNO262198:DNO262205 DXK262198:DXK262205 EHG262198:EHG262205 ERC262198:ERC262205 FAY262198:FAY262205 FKU262198:FKU262205 FUQ262198:FUQ262205 GEM262198:GEM262205 GOI262198:GOI262205 GYE262198:GYE262205 HIA262198:HIA262205 HRW262198:HRW262205 IBS262198:IBS262205 ILO262198:ILO262205 IVK262198:IVK262205 JFG262198:JFG262205 JPC262198:JPC262205 JYY262198:JYY262205 KIU262198:KIU262205 KSQ262198:KSQ262205 LCM262198:LCM262205 LMI262198:LMI262205 LWE262198:LWE262205 MGA262198:MGA262205 MPW262198:MPW262205 MZS262198:MZS262205 NJO262198:NJO262205 NTK262198:NTK262205 ODG262198:ODG262205 ONC262198:ONC262205 OWY262198:OWY262205 PGU262198:PGU262205 PQQ262198:PQQ262205 QAM262198:QAM262205 QKI262198:QKI262205 QUE262198:QUE262205 REA262198:REA262205 RNW262198:RNW262205 RXS262198:RXS262205 SHO262198:SHO262205 SRK262198:SRK262205 TBG262198:TBG262205 TLC262198:TLC262205 TUY262198:TUY262205 UEU262198:UEU262205 UOQ262198:UOQ262205 UYM262198:UYM262205 VII262198:VII262205 VSE262198:VSE262205 WCA262198:WCA262205 WLW262198:WLW262205 WVS262198:WVS262205 K327734:K327741 JG327734:JG327741 TC327734:TC327741 ACY327734:ACY327741 AMU327734:AMU327741 AWQ327734:AWQ327741 BGM327734:BGM327741 BQI327734:BQI327741 CAE327734:CAE327741 CKA327734:CKA327741 CTW327734:CTW327741 DDS327734:DDS327741 DNO327734:DNO327741 DXK327734:DXK327741 EHG327734:EHG327741 ERC327734:ERC327741 FAY327734:FAY327741 FKU327734:FKU327741 FUQ327734:FUQ327741 GEM327734:GEM327741 GOI327734:GOI327741 GYE327734:GYE327741 HIA327734:HIA327741 HRW327734:HRW327741 IBS327734:IBS327741 ILO327734:ILO327741 IVK327734:IVK327741 JFG327734:JFG327741 JPC327734:JPC327741 JYY327734:JYY327741 KIU327734:KIU327741 KSQ327734:KSQ327741 LCM327734:LCM327741 LMI327734:LMI327741 LWE327734:LWE327741 MGA327734:MGA327741 MPW327734:MPW327741 MZS327734:MZS327741 NJO327734:NJO327741 NTK327734:NTK327741 ODG327734:ODG327741 ONC327734:ONC327741 OWY327734:OWY327741 PGU327734:PGU327741 PQQ327734:PQQ327741 QAM327734:QAM327741 QKI327734:QKI327741 QUE327734:QUE327741 REA327734:REA327741 RNW327734:RNW327741 RXS327734:RXS327741 SHO327734:SHO327741 SRK327734:SRK327741 TBG327734:TBG327741 TLC327734:TLC327741 TUY327734:TUY327741 UEU327734:UEU327741 UOQ327734:UOQ327741 UYM327734:UYM327741 VII327734:VII327741 VSE327734:VSE327741 WCA327734:WCA327741 WLW327734:WLW327741 WVS327734:WVS327741 K393270:K393277 JG393270:JG393277 TC393270:TC393277 ACY393270:ACY393277 AMU393270:AMU393277 AWQ393270:AWQ393277 BGM393270:BGM393277 BQI393270:BQI393277 CAE393270:CAE393277 CKA393270:CKA393277 CTW393270:CTW393277 DDS393270:DDS393277 DNO393270:DNO393277 DXK393270:DXK393277 EHG393270:EHG393277 ERC393270:ERC393277 FAY393270:FAY393277 FKU393270:FKU393277 FUQ393270:FUQ393277 GEM393270:GEM393277 GOI393270:GOI393277 GYE393270:GYE393277 HIA393270:HIA393277 HRW393270:HRW393277 IBS393270:IBS393277 ILO393270:ILO393277 IVK393270:IVK393277 JFG393270:JFG393277 JPC393270:JPC393277 JYY393270:JYY393277 KIU393270:KIU393277 KSQ393270:KSQ393277 LCM393270:LCM393277 LMI393270:LMI393277 LWE393270:LWE393277 MGA393270:MGA393277 MPW393270:MPW393277 MZS393270:MZS393277 NJO393270:NJO393277 NTK393270:NTK393277 ODG393270:ODG393277 ONC393270:ONC393277 OWY393270:OWY393277 PGU393270:PGU393277 PQQ393270:PQQ393277 QAM393270:QAM393277 QKI393270:QKI393277 QUE393270:QUE393277 REA393270:REA393277 RNW393270:RNW393277 RXS393270:RXS393277 SHO393270:SHO393277 SRK393270:SRK393277 TBG393270:TBG393277 TLC393270:TLC393277 TUY393270:TUY393277 UEU393270:UEU393277 UOQ393270:UOQ393277 UYM393270:UYM393277 VII393270:VII393277 VSE393270:VSE393277 WCA393270:WCA393277 WLW393270:WLW393277 WVS393270:WVS393277 K458806:K458813 JG458806:JG458813 TC458806:TC458813 ACY458806:ACY458813 AMU458806:AMU458813 AWQ458806:AWQ458813 BGM458806:BGM458813 BQI458806:BQI458813 CAE458806:CAE458813 CKA458806:CKA458813 CTW458806:CTW458813 DDS458806:DDS458813 DNO458806:DNO458813 DXK458806:DXK458813 EHG458806:EHG458813 ERC458806:ERC458813 FAY458806:FAY458813 FKU458806:FKU458813 FUQ458806:FUQ458813 GEM458806:GEM458813 GOI458806:GOI458813 GYE458806:GYE458813 HIA458806:HIA458813 HRW458806:HRW458813 IBS458806:IBS458813 ILO458806:ILO458813 IVK458806:IVK458813 JFG458806:JFG458813 JPC458806:JPC458813 JYY458806:JYY458813 KIU458806:KIU458813 KSQ458806:KSQ458813 LCM458806:LCM458813 LMI458806:LMI458813 LWE458806:LWE458813 MGA458806:MGA458813 MPW458806:MPW458813 MZS458806:MZS458813 NJO458806:NJO458813 NTK458806:NTK458813 ODG458806:ODG458813 ONC458806:ONC458813 OWY458806:OWY458813 PGU458806:PGU458813 PQQ458806:PQQ458813 QAM458806:QAM458813 QKI458806:QKI458813 QUE458806:QUE458813 REA458806:REA458813 RNW458806:RNW458813 RXS458806:RXS458813 SHO458806:SHO458813 SRK458806:SRK458813 TBG458806:TBG458813 TLC458806:TLC458813 TUY458806:TUY458813 UEU458806:UEU458813 UOQ458806:UOQ458813 UYM458806:UYM458813 VII458806:VII458813 VSE458806:VSE458813 WCA458806:WCA458813 WLW458806:WLW458813 WVS458806:WVS458813 K524342:K524349 JG524342:JG524349 TC524342:TC524349 ACY524342:ACY524349 AMU524342:AMU524349 AWQ524342:AWQ524349 BGM524342:BGM524349 BQI524342:BQI524349 CAE524342:CAE524349 CKA524342:CKA524349 CTW524342:CTW524349 DDS524342:DDS524349 DNO524342:DNO524349 DXK524342:DXK524349 EHG524342:EHG524349 ERC524342:ERC524349 FAY524342:FAY524349 FKU524342:FKU524349 FUQ524342:FUQ524349 GEM524342:GEM524349 GOI524342:GOI524349 GYE524342:GYE524349 HIA524342:HIA524349 HRW524342:HRW524349 IBS524342:IBS524349 ILO524342:ILO524349 IVK524342:IVK524349 JFG524342:JFG524349 JPC524342:JPC524349 JYY524342:JYY524349 KIU524342:KIU524349 KSQ524342:KSQ524349 LCM524342:LCM524349 LMI524342:LMI524349 LWE524342:LWE524349 MGA524342:MGA524349 MPW524342:MPW524349 MZS524342:MZS524349 NJO524342:NJO524349 NTK524342:NTK524349 ODG524342:ODG524349 ONC524342:ONC524349 OWY524342:OWY524349 PGU524342:PGU524349 PQQ524342:PQQ524349 QAM524342:QAM524349 QKI524342:QKI524349 QUE524342:QUE524349 REA524342:REA524349 RNW524342:RNW524349 RXS524342:RXS524349 SHO524342:SHO524349 SRK524342:SRK524349 TBG524342:TBG524349 TLC524342:TLC524349 TUY524342:TUY524349 UEU524342:UEU524349 UOQ524342:UOQ524349 UYM524342:UYM524349 VII524342:VII524349 VSE524342:VSE524349 WCA524342:WCA524349 WLW524342:WLW524349 WVS524342:WVS524349 K589878:K589885 JG589878:JG589885 TC589878:TC589885 ACY589878:ACY589885 AMU589878:AMU589885 AWQ589878:AWQ589885 BGM589878:BGM589885 BQI589878:BQI589885 CAE589878:CAE589885 CKA589878:CKA589885 CTW589878:CTW589885 DDS589878:DDS589885 DNO589878:DNO589885 DXK589878:DXK589885 EHG589878:EHG589885 ERC589878:ERC589885 FAY589878:FAY589885 FKU589878:FKU589885 FUQ589878:FUQ589885 GEM589878:GEM589885 GOI589878:GOI589885 GYE589878:GYE589885 HIA589878:HIA589885 HRW589878:HRW589885 IBS589878:IBS589885 ILO589878:ILO589885 IVK589878:IVK589885 JFG589878:JFG589885 JPC589878:JPC589885 JYY589878:JYY589885 KIU589878:KIU589885 KSQ589878:KSQ589885 LCM589878:LCM589885 LMI589878:LMI589885 LWE589878:LWE589885 MGA589878:MGA589885 MPW589878:MPW589885 MZS589878:MZS589885 NJO589878:NJO589885 NTK589878:NTK589885 ODG589878:ODG589885 ONC589878:ONC589885 OWY589878:OWY589885 PGU589878:PGU589885 PQQ589878:PQQ589885 QAM589878:QAM589885 QKI589878:QKI589885 QUE589878:QUE589885 REA589878:REA589885 RNW589878:RNW589885 RXS589878:RXS589885 SHO589878:SHO589885 SRK589878:SRK589885 TBG589878:TBG589885 TLC589878:TLC589885 TUY589878:TUY589885 UEU589878:UEU589885 UOQ589878:UOQ589885 UYM589878:UYM589885 VII589878:VII589885 VSE589878:VSE589885 WCA589878:WCA589885 WLW589878:WLW589885 WVS589878:WVS589885 K655414:K655421 JG655414:JG655421 TC655414:TC655421 ACY655414:ACY655421 AMU655414:AMU655421 AWQ655414:AWQ655421 BGM655414:BGM655421 BQI655414:BQI655421 CAE655414:CAE655421 CKA655414:CKA655421 CTW655414:CTW655421 DDS655414:DDS655421 DNO655414:DNO655421 DXK655414:DXK655421 EHG655414:EHG655421 ERC655414:ERC655421 FAY655414:FAY655421 FKU655414:FKU655421 FUQ655414:FUQ655421 GEM655414:GEM655421 GOI655414:GOI655421 GYE655414:GYE655421 HIA655414:HIA655421 HRW655414:HRW655421 IBS655414:IBS655421 ILO655414:ILO655421 IVK655414:IVK655421 JFG655414:JFG655421 JPC655414:JPC655421 JYY655414:JYY655421 KIU655414:KIU655421 KSQ655414:KSQ655421 LCM655414:LCM655421 LMI655414:LMI655421 LWE655414:LWE655421 MGA655414:MGA655421 MPW655414:MPW655421 MZS655414:MZS655421 NJO655414:NJO655421 NTK655414:NTK655421 ODG655414:ODG655421 ONC655414:ONC655421 OWY655414:OWY655421 PGU655414:PGU655421 PQQ655414:PQQ655421 QAM655414:QAM655421 QKI655414:QKI655421 QUE655414:QUE655421 REA655414:REA655421 RNW655414:RNW655421 RXS655414:RXS655421 SHO655414:SHO655421 SRK655414:SRK655421 TBG655414:TBG655421 TLC655414:TLC655421 TUY655414:TUY655421 UEU655414:UEU655421 UOQ655414:UOQ655421 UYM655414:UYM655421 VII655414:VII655421 VSE655414:VSE655421 WCA655414:WCA655421 WLW655414:WLW655421 WVS655414:WVS655421 K720950:K720957 JG720950:JG720957 TC720950:TC720957 ACY720950:ACY720957 AMU720950:AMU720957 AWQ720950:AWQ720957 BGM720950:BGM720957 BQI720950:BQI720957 CAE720950:CAE720957 CKA720950:CKA720957 CTW720950:CTW720957 DDS720950:DDS720957 DNO720950:DNO720957 DXK720950:DXK720957 EHG720950:EHG720957 ERC720950:ERC720957 FAY720950:FAY720957 FKU720950:FKU720957 FUQ720950:FUQ720957 GEM720950:GEM720957 GOI720950:GOI720957 GYE720950:GYE720957 HIA720950:HIA720957 HRW720950:HRW720957 IBS720950:IBS720957 ILO720950:ILO720957 IVK720950:IVK720957 JFG720950:JFG720957 JPC720950:JPC720957 JYY720950:JYY720957 KIU720950:KIU720957 KSQ720950:KSQ720957 LCM720950:LCM720957 LMI720950:LMI720957 LWE720950:LWE720957 MGA720950:MGA720957 MPW720950:MPW720957 MZS720950:MZS720957 NJO720950:NJO720957 NTK720950:NTK720957 ODG720950:ODG720957 ONC720950:ONC720957 OWY720950:OWY720957 PGU720950:PGU720957 PQQ720950:PQQ720957 QAM720950:QAM720957 QKI720950:QKI720957 QUE720950:QUE720957 REA720950:REA720957 RNW720950:RNW720957 RXS720950:RXS720957 SHO720950:SHO720957 SRK720950:SRK720957 TBG720950:TBG720957 TLC720950:TLC720957 TUY720950:TUY720957 UEU720950:UEU720957 UOQ720950:UOQ720957 UYM720950:UYM720957 VII720950:VII720957 VSE720950:VSE720957 WCA720950:WCA720957 WLW720950:WLW720957 WVS720950:WVS720957 K786486:K786493 JG786486:JG786493 TC786486:TC786493 ACY786486:ACY786493 AMU786486:AMU786493 AWQ786486:AWQ786493 BGM786486:BGM786493 BQI786486:BQI786493 CAE786486:CAE786493 CKA786486:CKA786493 CTW786486:CTW786493 DDS786486:DDS786493 DNO786486:DNO786493 DXK786486:DXK786493 EHG786486:EHG786493 ERC786486:ERC786493 FAY786486:FAY786493 FKU786486:FKU786493 FUQ786486:FUQ786493 GEM786486:GEM786493 GOI786486:GOI786493 GYE786486:GYE786493 HIA786486:HIA786493 HRW786486:HRW786493 IBS786486:IBS786493 ILO786486:ILO786493 IVK786486:IVK786493 JFG786486:JFG786493 JPC786486:JPC786493 JYY786486:JYY786493 KIU786486:KIU786493 KSQ786486:KSQ786493 LCM786486:LCM786493 LMI786486:LMI786493 LWE786486:LWE786493 MGA786486:MGA786493 MPW786486:MPW786493 MZS786486:MZS786493 NJO786486:NJO786493 NTK786486:NTK786493 ODG786486:ODG786493 ONC786486:ONC786493 OWY786486:OWY786493 PGU786486:PGU786493 PQQ786486:PQQ786493 QAM786486:QAM786493 QKI786486:QKI786493 QUE786486:QUE786493 REA786486:REA786493 RNW786486:RNW786493 RXS786486:RXS786493 SHO786486:SHO786493 SRK786486:SRK786493 TBG786486:TBG786493 TLC786486:TLC786493 TUY786486:TUY786493 UEU786486:UEU786493 UOQ786486:UOQ786493 UYM786486:UYM786493 VII786486:VII786493 VSE786486:VSE786493 WCA786486:WCA786493 WLW786486:WLW786493 WVS786486:WVS786493 K852022:K852029 JG852022:JG852029 TC852022:TC852029 ACY852022:ACY852029 AMU852022:AMU852029 AWQ852022:AWQ852029 BGM852022:BGM852029 BQI852022:BQI852029 CAE852022:CAE852029 CKA852022:CKA852029 CTW852022:CTW852029 DDS852022:DDS852029 DNO852022:DNO852029 DXK852022:DXK852029 EHG852022:EHG852029 ERC852022:ERC852029 FAY852022:FAY852029 FKU852022:FKU852029 FUQ852022:FUQ852029 GEM852022:GEM852029 GOI852022:GOI852029 GYE852022:GYE852029 HIA852022:HIA852029 HRW852022:HRW852029 IBS852022:IBS852029 ILO852022:ILO852029 IVK852022:IVK852029 JFG852022:JFG852029 JPC852022:JPC852029 JYY852022:JYY852029 KIU852022:KIU852029 KSQ852022:KSQ852029 LCM852022:LCM852029 LMI852022:LMI852029 LWE852022:LWE852029 MGA852022:MGA852029 MPW852022:MPW852029 MZS852022:MZS852029 NJO852022:NJO852029 NTK852022:NTK852029 ODG852022:ODG852029 ONC852022:ONC852029 OWY852022:OWY852029 PGU852022:PGU852029 PQQ852022:PQQ852029 QAM852022:QAM852029 QKI852022:QKI852029 QUE852022:QUE852029 REA852022:REA852029 RNW852022:RNW852029 RXS852022:RXS852029 SHO852022:SHO852029 SRK852022:SRK852029 TBG852022:TBG852029 TLC852022:TLC852029 TUY852022:TUY852029 UEU852022:UEU852029 UOQ852022:UOQ852029 UYM852022:UYM852029 VII852022:VII852029 VSE852022:VSE852029 WCA852022:WCA852029 WLW852022:WLW852029 WVS852022:WVS852029 K917558:K917565 JG917558:JG917565 TC917558:TC917565 ACY917558:ACY917565 AMU917558:AMU917565 AWQ917558:AWQ917565 BGM917558:BGM917565 BQI917558:BQI917565 CAE917558:CAE917565 CKA917558:CKA917565 CTW917558:CTW917565 DDS917558:DDS917565 DNO917558:DNO917565 DXK917558:DXK917565 EHG917558:EHG917565 ERC917558:ERC917565 FAY917558:FAY917565 FKU917558:FKU917565 FUQ917558:FUQ917565 GEM917558:GEM917565 GOI917558:GOI917565 GYE917558:GYE917565 HIA917558:HIA917565 HRW917558:HRW917565 IBS917558:IBS917565 ILO917558:ILO917565 IVK917558:IVK917565 JFG917558:JFG917565 JPC917558:JPC917565 JYY917558:JYY917565 KIU917558:KIU917565 KSQ917558:KSQ917565 LCM917558:LCM917565 LMI917558:LMI917565 LWE917558:LWE917565 MGA917558:MGA917565 MPW917558:MPW917565 MZS917558:MZS917565 NJO917558:NJO917565 NTK917558:NTK917565 ODG917558:ODG917565 ONC917558:ONC917565 OWY917558:OWY917565 PGU917558:PGU917565 PQQ917558:PQQ917565 QAM917558:QAM917565 QKI917558:QKI917565 QUE917558:QUE917565 REA917558:REA917565 RNW917558:RNW917565 RXS917558:RXS917565 SHO917558:SHO917565 SRK917558:SRK917565 TBG917558:TBG917565 TLC917558:TLC917565 TUY917558:TUY917565 UEU917558:UEU917565 UOQ917558:UOQ917565 UYM917558:UYM917565 VII917558:VII917565 VSE917558:VSE917565 WCA917558:WCA917565 WLW917558:WLW917565 WVS917558:WVS917565 K983094:K983101 JG983094:JG983101 TC983094:TC983101 ACY983094:ACY983101 AMU983094:AMU983101 AWQ983094:AWQ983101 BGM983094:BGM983101 BQI983094:BQI983101 CAE983094:CAE983101 CKA983094:CKA983101 CTW983094:CTW983101 DDS983094:DDS983101 DNO983094:DNO983101 DXK983094:DXK983101 EHG983094:EHG983101 ERC983094:ERC983101 FAY983094:FAY983101 FKU983094:FKU983101 FUQ983094:FUQ983101 GEM983094:GEM983101 GOI983094:GOI983101 GYE983094:GYE983101 HIA983094:HIA983101 HRW983094:HRW983101 IBS983094:IBS983101 ILO983094:ILO983101 IVK983094:IVK983101 JFG983094:JFG983101 JPC983094:JPC983101 JYY983094:JYY983101 KIU983094:KIU983101 KSQ983094:KSQ983101 LCM983094:LCM983101 LMI983094:LMI983101 LWE983094:LWE983101 MGA983094:MGA983101 MPW983094:MPW983101 MZS983094:MZS983101 NJO983094:NJO983101 NTK983094:NTK983101 ODG983094:ODG983101 ONC983094:ONC983101 OWY983094:OWY983101 PGU983094:PGU983101 PQQ983094:PQQ983101 QAM983094:QAM983101 QKI983094:QKI983101 QUE983094:QUE983101 REA983094:REA983101 RNW983094:RNW983101 RXS983094:RXS983101 SHO983094:SHO983101 SRK983094:SRK983101 TBG983094:TBG983101 TLC983094:TLC983101 TUY983094:TUY983101 UEU983094:UEU983101 UOQ983094:UOQ983101 UYM983094:UYM983101 VII983094:VII983101 VSE983094:VSE983101 WCA983094:WCA983101 WLW983094:WLW983101 WVS983094:WVS983101">
      <formula1>$J$166:$J$168</formula1>
    </dataValidation>
    <dataValidation type="textLength" operator="lessThanOrEqual" allowBlank="1" showInputMessage="1" showErrorMessage="1" errorTitle="Description is to long!" error="Maximum of 250 characters.  Please shorten the length of the description." sqref="WVL98306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D6">
      <formula1>250</formula1>
    </dataValidation>
    <dataValidation type="list" allowBlank="1" showInputMessage="1" showErrorMessage="1" sqref="WVL98307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D15">
      <formula1>"&lt;select from list&gt;, Yes, No"</formula1>
    </dataValidation>
    <dataValidation type="list" allowBlank="1" showInputMessage="1" showErrorMessage="1" sqref="WVL983073:WVM98307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formula1>$C$166:$C$175</formula1>
    </dataValidation>
    <dataValidation type="list" allowBlank="1" showInputMessage="1" showErrorMessage="1" sqref="WVL983074:WVM98307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70:E65570 IZ65570:JA65570 SV65570:SW65570 ACR65570:ACS65570 AMN65570:AMO65570 AWJ65570:AWK65570 BGF65570:BGG65570 BQB65570:BQC65570 BZX65570:BZY65570 CJT65570:CJU65570 CTP65570:CTQ65570 DDL65570:DDM65570 DNH65570:DNI65570 DXD65570:DXE65570 EGZ65570:EHA65570 EQV65570:EQW65570 FAR65570:FAS65570 FKN65570:FKO65570 FUJ65570:FUK65570 GEF65570:GEG65570 GOB65570:GOC65570 GXX65570:GXY65570 HHT65570:HHU65570 HRP65570:HRQ65570 IBL65570:IBM65570 ILH65570:ILI65570 IVD65570:IVE65570 JEZ65570:JFA65570 JOV65570:JOW65570 JYR65570:JYS65570 KIN65570:KIO65570 KSJ65570:KSK65570 LCF65570:LCG65570 LMB65570:LMC65570 LVX65570:LVY65570 MFT65570:MFU65570 MPP65570:MPQ65570 MZL65570:MZM65570 NJH65570:NJI65570 NTD65570:NTE65570 OCZ65570:ODA65570 OMV65570:OMW65570 OWR65570:OWS65570 PGN65570:PGO65570 PQJ65570:PQK65570 QAF65570:QAG65570 QKB65570:QKC65570 QTX65570:QTY65570 RDT65570:RDU65570 RNP65570:RNQ65570 RXL65570:RXM65570 SHH65570:SHI65570 SRD65570:SRE65570 TAZ65570:TBA65570 TKV65570:TKW65570 TUR65570:TUS65570 UEN65570:UEO65570 UOJ65570:UOK65570 UYF65570:UYG65570 VIB65570:VIC65570 VRX65570:VRY65570 WBT65570:WBU65570 WLP65570:WLQ65570 WVL65570:WVM65570 D131106:E131106 IZ131106:JA131106 SV131106:SW131106 ACR131106:ACS131106 AMN131106:AMO131106 AWJ131106:AWK131106 BGF131106:BGG131106 BQB131106:BQC131106 BZX131106:BZY131106 CJT131106:CJU131106 CTP131106:CTQ131106 DDL131106:DDM131106 DNH131106:DNI131106 DXD131106:DXE131106 EGZ131106:EHA131106 EQV131106:EQW131106 FAR131106:FAS131106 FKN131106:FKO131106 FUJ131106:FUK131106 GEF131106:GEG131106 GOB131106:GOC131106 GXX131106:GXY131106 HHT131106:HHU131106 HRP131106:HRQ131106 IBL131106:IBM131106 ILH131106:ILI131106 IVD131106:IVE131106 JEZ131106:JFA131106 JOV131106:JOW131106 JYR131106:JYS131106 KIN131106:KIO131106 KSJ131106:KSK131106 LCF131106:LCG131106 LMB131106:LMC131106 LVX131106:LVY131106 MFT131106:MFU131106 MPP131106:MPQ131106 MZL131106:MZM131106 NJH131106:NJI131106 NTD131106:NTE131106 OCZ131106:ODA131106 OMV131106:OMW131106 OWR131106:OWS131106 PGN131106:PGO131106 PQJ131106:PQK131106 QAF131106:QAG131106 QKB131106:QKC131106 QTX131106:QTY131106 RDT131106:RDU131106 RNP131106:RNQ131106 RXL131106:RXM131106 SHH131106:SHI131106 SRD131106:SRE131106 TAZ131106:TBA131106 TKV131106:TKW131106 TUR131106:TUS131106 UEN131106:UEO131106 UOJ131106:UOK131106 UYF131106:UYG131106 VIB131106:VIC131106 VRX131106:VRY131106 WBT131106:WBU131106 WLP131106:WLQ131106 WVL131106:WVM131106 D196642:E196642 IZ196642:JA196642 SV196642:SW196642 ACR196642:ACS196642 AMN196642:AMO196642 AWJ196642:AWK196642 BGF196642:BGG196642 BQB196642:BQC196642 BZX196642:BZY196642 CJT196642:CJU196642 CTP196642:CTQ196642 DDL196642:DDM196642 DNH196642:DNI196642 DXD196642:DXE196642 EGZ196642:EHA196642 EQV196642:EQW196642 FAR196642:FAS196642 FKN196642:FKO196642 FUJ196642:FUK196642 GEF196642:GEG196642 GOB196642:GOC196642 GXX196642:GXY196642 HHT196642:HHU196642 HRP196642:HRQ196642 IBL196642:IBM196642 ILH196642:ILI196642 IVD196642:IVE196642 JEZ196642:JFA196642 JOV196642:JOW196642 JYR196642:JYS196642 KIN196642:KIO196642 KSJ196642:KSK196642 LCF196642:LCG196642 LMB196642:LMC196642 LVX196642:LVY196642 MFT196642:MFU196642 MPP196642:MPQ196642 MZL196642:MZM196642 NJH196642:NJI196642 NTD196642:NTE196642 OCZ196642:ODA196642 OMV196642:OMW196642 OWR196642:OWS196642 PGN196642:PGO196642 PQJ196642:PQK196642 QAF196642:QAG196642 QKB196642:QKC196642 QTX196642:QTY196642 RDT196642:RDU196642 RNP196642:RNQ196642 RXL196642:RXM196642 SHH196642:SHI196642 SRD196642:SRE196642 TAZ196642:TBA196642 TKV196642:TKW196642 TUR196642:TUS196642 UEN196642:UEO196642 UOJ196642:UOK196642 UYF196642:UYG196642 VIB196642:VIC196642 VRX196642:VRY196642 WBT196642:WBU196642 WLP196642:WLQ196642 WVL196642:WVM196642 D262178:E262178 IZ262178:JA262178 SV262178:SW262178 ACR262178:ACS262178 AMN262178:AMO262178 AWJ262178:AWK262178 BGF262178:BGG262178 BQB262178:BQC262178 BZX262178:BZY262178 CJT262178:CJU262178 CTP262178:CTQ262178 DDL262178:DDM262178 DNH262178:DNI262178 DXD262178:DXE262178 EGZ262178:EHA262178 EQV262178:EQW262178 FAR262178:FAS262178 FKN262178:FKO262178 FUJ262178:FUK262178 GEF262178:GEG262178 GOB262178:GOC262178 GXX262178:GXY262178 HHT262178:HHU262178 HRP262178:HRQ262178 IBL262178:IBM262178 ILH262178:ILI262178 IVD262178:IVE262178 JEZ262178:JFA262178 JOV262178:JOW262178 JYR262178:JYS262178 KIN262178:KIO262178 KSJ262178:KSK262178 LCF262178:LCG262178 LMB262178:LMC262178 LVX262178:LVY262178 MFT262178:MFU262178 MPP262178:MPQ262178 MZL262178:MZM262178 NJH262178:NJI262178 NTD262178:NTE262178 OCZ262178:ODA262178 OMV262178:OMW262178 OWR262178:OWS262178 PGN262178:PGO262178 PQJ262178:PQK262178 QAF262178:QAG262178 QKB262178:QKC262178 QTX262178:QTY262178 RDT262178:RDU262178 RNP262178:RNQ262178 RXL262178:RXM262178 SHH262178:SHI262178 SRD262178:SRE262178 TAZ262178:TBA262178 TKV262178:TKW262178 TUR262178:TUS262178 UEN262178:UEO262178 UOJ262178:UOK262178 UYF262178:UYG262178 VIB262178:VIC262178 VRX262178:VRY262178 WBT262178:WBU262178 WLP262178:WLQ262178 WVL262178:WVM262178 D327714:E327714 IZ327714:JA327714 SV327714:SW327714 ACR327714:ACS327714 AMN327714:AMO327714 AWJ327714:AWK327714 BGF327714:BGG327714 BQB327714:BQC327714 BZX327714:BZY327714 CJT327714:CJU327714 CTP327714:CTQ327714 DDL327714:DDM327714 DNH327714:DNI327714 DXD327714:DXE327714 EGZ327714:EHA327714 EQV327714:EQW327714 FAR327714:FAS327714 FKN327714:FKO327714 FUJ327714:FUK327714 GEF327714:GEG327714 GOB327714:GOC327714 GXX327714:GXY327714 HHT327714:HHU327714 HRP327714:HRQ327714 IBL327714:IBM327714 ILH327714:ILI327714 IVD327714:IVE327714 JEZ327714:JFA327714 JOV327714:JOW327714 JYR327714:JYS327714 KIN327714:KIO327714 KSJ327714:KSK327714 LCF327714:LCG327714 LMB327714:LMC327714 LVX327714:LVY327714 MFT327714:MFU327714 MPP327714:MPQ327714 MZL327714:MZM327714 NJH327714:NJI327714 NTD327714:NTE327714 OCZ327714:ODA327714 OMV327714:OMW327714 OWR327714:OWS327714 PGN327714:PGO327714 PQJ327714:PQK327714 QAF327714:QAG327714 QKB327714:QKC327714 QTX327714:QTY327714 RDT327714:RDU327714 RNP327714:RNQ327714 RXL327714:RXM327714 SHH327714:SHI327714 SRD327714:SRE327714 TAZ327714:TBA327714 TKV327714:TKW327714 TUR327714:TUS327714 UEN327714:UEO327714 UOJ327714:UOK327714 UYF327714:UYG327714 VIB327714:VIC327714 VRX327714:VRY327714 WBT327714:WBU327714 WLP327714:WLQ327714 WVL327714:WVM327714 D393250:E393250 IZ393250:JA393250 SV393250:SW393250 ACR393250:ACS393250 AMN393250:AMO393250 AWJ393250:AWK393250 BGF393250:BGG393250 BQB393250:BQC393250 BZX393250:BZY393250 CJT393250:CJU393250 CTP393250:CTQ393250 DDL393250:DDM393250 DNH393250:DNI393250 DXD393250:DXE393250 EGZ393250:EHA393250 EQV393250:EQW393250 FAR393250:FAS393250 FKN393250:FKO393250 FUJ393250:FUK393250 GEF393250:GEG393250 GOB393250:GOC393250 GXX393250:GXY393250 HHT393250:HHU393250 HRP393250:HRQ393250 IBL393250:IBM393250 ILH393250:ILI393250 IVD393250:IVE393250 JEZ393250:JFA393250 JOV393250:JOW393250 JYR393250:JYS393250 KIN393250:KIO393250 KSJ393250:KSK393250 LCF393250:LCG393250 LMB393250:LMC393250 LVX393250:LVY393250 MFT393250:MFU393250 MPP393250:MPQ393250 MZL393250:MZM393250 NJH393250:NJI393250 NTD393250:NTE393250 OCZ393250:ODA393250 OMV393250:OMW393250 OWR393250:OWS393250 PGN393250:PGO393250 PQJ393250:PQK393250 QAF393250:QAG393250 QKB393250:QKC393250 QTX393250:QTY393250 RDT393250:RDU393250 RNP393250:RNQ393250 RXL393250:RXM393250 SHH393250:SHI393250 SRD393250:SRE393250 TAZ393250:TBA393250 TKV393250:TKW393250 TUR393250:TUS393250 UEN393250:UEO393250 UOJ393250:UOK393250 UYF393250:UYG393250 VIB393250:VIC393250 VRX393250:VRY393250 WBT393250:WBU393250 WLP393250:WLQ393250 WVL393250:WVM393250 D458786:E458786 IZ458786:JA458786 SV458786:SW458786 ACR458786:ACS458786 AMN458786:AMO458786 AWJ458786:AWK458786 BGF458786:BGG458786 BQB458786:BQC458786 BZX458786:BZY458786 CJT458786:CJU458786 CTP458786:CTQ458786 DDL458786:DDM458786 DNH458786:DNI458786 DXD458786:DXE458786 EGZ458786:EHA458786 EQV458786:EQW458786 FAR458786:FAS458786 FKN458786:FKO458786 FUJ458786:FUK458786 GEF458786:GEG458786 GOB458786:GOC458786 GXX458786:GXY458786 HHT458786:HHU458786 HRP458786:HRQ458786 IBL458786:IBM458786 ILH458786:ILI458786 IVD458786:IVE458786 JEZ458786:JFA458786 JOV458786:JOW458786 JYR458786:JYS458786 KIN458786:KIO458786 KSJ458786:KSK458786 LCF458786:LCG458786 LMB458786:LMC458786 LVX458786:LVY458786 MFT458786:MFU458786 MPP458786:MPQ458786 MZL458786:MZM458786 NJH458786:NJI458786 NTD458786:NTE458786 OCZ458786:ODA458786 OMV458786:OMW458786 OWR458786:OWS458786 PGN458786:PGO458786 PQJ458786:PQK458786 QAF458786:QAG458786 QKB458786:QKC458786 QTX458786:QTY458786 RDT458786:RDU458786 RNP458786:RNQ458786 RXL458786:RXM458786 SHH458786:SHI458786 SRD458786:SRE458786 TAZ458786:TBA458786 TKV458786:TKW458786 TUR458786:TUS458786 UEN458786:UEO458786 UOJ458786:UOK458786 UYF458786:UYG458786 VIB458786:VIC458786 VRX458786:VRY458786 WBT458786:WBU458786 WLP458786:WLQ458786 WVL458786:WVM458786 D524322:E524322 IZ524322:JA524322 SV524322:SW524322 ACR524322:ACS524322 AMN524322:AMO524322 AWJ524322:AWK524322 BGF524322:BGG524322 BQB524322:BQC524322 BZX524322:BZY524322 CJT524322:CJU524322 CTP524322:CTQ524322 DDL524322:DDM524322 DNH524322:DNI524322 DXD524322:DXE524322 EGZ524322:EHA524322 EQV524322:EQW524322 FAR524322:FAS524322 FKN524322:FKO524322 FUJ524322:FUK524322 GEF524322:GEG524322 GOB524322:GOC524322 GXX524322:GXY524322 HHT524322:HHU524322 HRP524322:HRQ524322 IBL524322:IBM524322 ILH524322:ILI524322 IVD524322:IVE524322 JEZ524322:JFA524322 JOV524322:JOW524322 JYR524322:JYS524322 KIN524322:KIO524322 KSJ524322:KSK524322 LCF524322:LCG524322 LMB524322:LMC524322 LVX524322:LVY524322 MFT524322:MFU524322 MPP524322:MPQ524322 MZL524322:MZM524322 NJH524322:NJI524322 NTD524322:NTE524322 OCZ524322:ODA524322 OMV524322:OMW524322 OWR524322:OWS524322 PGN524322:PGO524322 PQJ524322:PQK524322 QAF524322:QAG524322 QKB524322:QKC524322 QTX524322:QTY524322 RDT524322:RDU524322 RNP524322:RNQ524322 RXL524322:RXM524322 SHH524322:SHI524322 SRD524322:SRE524322 TAZ524322:TBA524322 TKV524322:TKW524322 TUR524322:TUS524322 UEN524322:UEO524322 UOJ524322:UOK524322 UYF524322:UYG524322 VIB524322:VIC524322 VRX524322:VRY524322 WBT524322:WBU524322 WLP524322:WLQ524322 WVL524322:WVM524322 D589858:E589858 IZ589858:JA589858 SV589858:SW589858 ACR589858:ACS589858 AMN589858:AMO589858 AWJ589858:AWK589858 BGF589858:BGG589858 BQB589858:BQC589858 BZX589858:BZY589858 CJT589858:CJU589858 CTP589858:CTQ589858 DDL589858:DDM589858 DNH589858:DNI589858 DXD589858:DXE589858 EGZ589858:EHA589858 EQV589858:EQW589858 FAR589858:FAS589858 FKN589858:FKO589858 FUJ589858:FUK589858 GEF589858:GEG589858 GOB589858:GOC589858 GXX589858:GXY589858 HHT589858:HHU589858 HRP589858:HRQ589858 IBL589858:IBM589858 ILH589858:ILI589858 IVD589858:IVE589858 JEZ589858:JFA589858 JOV589858:JOW589858 JYR589858:JYS589858 KIN589858:KIO589858 KSJ589858:KSK589858 LCF589858:LCG589858 LMB589858:LMC589858 LVX589858:LVY589858 MFT589858:MFU589858 MPP589858:MPQ589858 MZL589858:MZM589858 NJH589858:NJI589858 NTD589858:NTE589858 OCZ589858:ODA589858 OMV589858:OMW589858 OWR589858:OWS589858 PGN589858:PGO589858 PQJ589858:PQK589858 QAF589858:QAG589858 QKB589858:QKC589858 QTX589858:QTY589858 RDT589858:RDU589858 RNP589858:RNQ589858 RXL589858:RXM589858 SHH589858:SHI589858 SRD589858:SRE589858 TAZ589858:TBA589858 TKV589858:TKW589858 TUR589858:TUS589858 UEN589858:UEO589858 UOJ589858:UOK589858 UYF589858:UYG589858 VIB589858:VIC589858 VRX589858:VRY589858 WBT589858:WBU589858 WLP589858:WLQ589858 WVL589858:WVM589858 D655394:E655394 IZ655394:JA655394 SV655394:SW655394 ACR655394:ACS655394 AMN655394:AMO655394 AWJ655394:AWK655394 BGF655394:BGG655394 BQB655394:BQC655394 BZX655394:BZY655394 CJT655394:CJU655394 CTP655394:CTQ655394 DDL655394:DDM655394 DNH655394:DNI655394 DXD655394:DXE655394 EGZ655394:EHA655394 EQV655394:EQW655394 FAR655394:FAS655394 FKN655394:FKO655394 FUJ655394:FUK655394 GEF655394:GEG655394 GOB655394:GOC655394 GXX655394:GXY655394 HHT655394:HHU655394 HRP655394:HRQ655394 IBL655394:IBM655394 ILH655394:ILI655394 IVD655394:IVE655394 JEZ655394:JFA655394 JOV655394:JOW655394 JYR655394:JYS655394 KIN655394:KIO655394 KSJ655394:KSK655394 LCF655394:LCG655394 LMB655394:LMC655394 LVX655394:LVY655394 MFT655394:MFU655394 MPP655394:MPQ655394 MZL655394:MZM655394 NJH655394:NJI655394 NTD655394:NTE655394 OCZ655394:ODA655394 OMV655394:OMW655394 OWR655394:OWS655394 PGN655394:PGO655394 PQJ655394:PQK655394 QAF655394:QAG655394 QKB655394:QKC655394 QTX655394:QTY655394 RDT655394:RDU655394 RNP655394:RNQ655394 RXL655394:RXM655394 SHH655394:SHI655394 SRD655394:SRE655394 TAZ655394:TBA655394 TKV655394:TKW655394 TUR655394:TUS655394 UEN655394:UEO655394 UOJ655394:UOK655394 UYF655394:UYG655394 VIB655394:VIC655394 VRX655394:VRY655394 WBT655394:WBU655394 WLP655394:WLQ655394 WVL655394:WVM655394 D720930:E720930 IZ720930:JA720930 SV720930:SW720930 ACR720930:ACS720930 AMN720930:AMO720930 AWJ720930:AWK720930 BGF720930:BGG720930 BQB720930:BQC720930 BZX720930:BZY720930 CJT720930:CJU720930 CTP720930:CTQ720930 DDL720930:DDM720930 DNH720930:DNI720930 DXD720930:DXE720930 EGZ720930:EHA720930 EQV720930:EQW720930 FAR720930:FAS720930 FKN720930:FKO720930 FUJ720930:FUK720930 GEF720930:GEG720930 GOB720930:GOC720930 GXX720930:GXY720930 HHT720930:HHU720930 HRP720930:HRQ720930 IBL720930:IBM720930 ILH720930:ILI720930 IVD720930:IVE720930 JEZ720930:JFA720930 JOV720930:JOW720930 JYR720930:JYS720930 KIN720930:KIO720930 KSJ720930:KSK720930 LCF720930:LCG720930 LMB720930:LMC720930 LVX720930:LVY720930 MFT720930:MFU720930 MPP720930:MPQ720930 MZL720930:MZM720930 NJH720930:NJI720930 NTD720930:NTE720930 OCZ720930:ODA720930 OMV720930:OMW720930 OWR720930:OWS720930 PGN720930:PGO720930 PQJ720930:PQK720930 QAF720930:QAG720930 QKB720930:QKC720930 QTX720930:QTY720930 RDT720930:RDU720930 RNP720930:RNQ720930 RXL720930:RXM720930 SHH720930:SHI720930 SRD720930:SRE720930 TAZ720930:TBA720930 TKV720930:TKW720930 TUR720930:TUS720930 UEN720930:UEO720930 UOJ720930:UOK720930 UYF720930:UYG720930 VIB720930:VIC720930 VRX720930:VRY720930 WBT720930:WBU720930 WLP720930:WLQ720930 WVL720930:WVM720930 D786466:E786466 IZ786466:JA786466 SV786466:SW786466 ACR786466:ACS786466 AMN786466:AMO786466 AWJ786466:AWK786466 BGF786466:BGG786466 BQB786466:BQC786466 BZX786466:BZY786466 CJT786466:CJU786466 CTP786466:CTQ786466 DDL786466:DDM786466 DNH786466:DNI786466 DXD786466:DXE786466 EGZ786466:EHA786466 EQV786466:EQW786466 FAR786466:FAS786466 FKN786466:FKO786466 FUJ786466:FUK786466 GEF786466:GEG786466 GOB786466:GOC786466 GXX786466:GXY786466 HHT786466:HHU786466 HRP786466:HRQ786466 IBL786466:IBM786466 ILH786466:ILI786466 IVD786466:IVE786466 JEZ786466:JFA786466 JOV786466:JOW786466 JYR786466:JYS786466 KIN786466:KIO786466 KSJ786466:KSK786466 LCF786466:LCG786466 LMB786466:LMC786466 LVX786466:LVY786466 MFT786466:MFU786466 MPP786466:MPQ786466 MZL786466:MZM786466 NJH786466:NJI786466 NTD786466:NTE786466 OCZ786466:ODA786466 OMV786466:OMW786466 OWR786466:OWS786466 PGN786466:PGO786466 PQJ786466:PQK786466 QAF786466:QAG786466 QKB786466:QKC786466 QTX786466:QTY786466 RDT786466:RDU786466 RNP786466:RNQ786466 RXL786466:RXM786466 SHH786466:SHI786466 SRD786466:SRE786466 TAZ786466:TBA786466 TKV786466:TKW786466 TUR786466:TUS786466 UEN786466:UEO786466 UOJ786466:UOK786466 UYF786466:UYG786466 VIB786466:VIC786466 VRX786466:VRY786466 WBT786466:WBU786466 WLP786466:WLQ786466 WVL786466:WVM786466 D852002:E852002 IZ852002:JA852002 SV852002:SW852002 ACR852002:ACS852002 AMN852002:AMO852002 AWJ852002:AWK852002 BGF852002:BGG852002 BQB852002:BQC852002 BZX852002:BZY852002 CJT852002:CJU852002 CTP852002:CTQ852002 DDL852002:DDM852002 DNH852002:DNI852002 DXD852002:DXE852002 EGZ852002:EHA852002 EQV852002:EQW852002 FAR852002:FAS852002 FKN852002:FKO852002 FUJ852002:FUK852002 GEF852002:GEG852002 GOB852002:GOC852002 GXX852002:GXY852002 HHT852002:HHU852002 HRP852002:HRQ852002 IBL852002:IBM852002 ILH852002:ILI852002 IVD852002:IVE852002 JEZ852002:JFA852002 JOV852002:JOW852002 JYR852002:JYS852002 KIN852002:KIO852002 KSJ852002:KSK852002 LCF852002:LCG852002 LMB852002:LMC852002 LVX852002:LVY852002 MFT852002:MFU852002 MPP852002:MPQ852002 MZL852002:MZM852002 NJH852002:NJI852002 NTD852002:NTE852002 OCZ852002:ODA852002 OMV852002:OMW852002 OWR852002:OWS852002 PGN852002:PGO852002 PQJ852002:PQK852002 QAF852002:QAG852002 QKB852002:QKC852002 QTX852002:QTY852002 RDT852002:RDU852002 RNP852002:RNQ852002 RXL852002:RXM852002 SHH852002:SHI852002 SRD852002:SRE852002 TAZ852002:TBA852002 TKV852002:TKW852002 TUR852002:TUS852002 UEN852002:UEO852002 UOJ852002:UOK852002 UYF852002:UYG852002 VIB852002:VIC852002 VRX852002:VRY852002 WBT852002:WBU852002 WLP852002:WLQ852002 WVL852002:WVM852002 D917538:E917538 IZ917538:JA917538 SV917538:SW917538 ACR917538:ACS917538 AMN917538:AMO917538 AWJ917538:AWK917538 BGF917538:BGG917538 BQB917538:BQC917538 BZX917538:BZY917538 CJT917538:CJU917538 CTP917538:CTQ917538 DDL917538:DDM917538 DNH917538:DNI917538 DXD917538:DXE917538 EGZ917538:EHA917538 EQV917538:EQW917538 FAR917538:FAS917538 FKN917538:FKO917538 FUJ917538:FUK917538 GEF917538:GEG917538 GOB917538:GOC917538 GXX917538:GXY917538 HHT917538:HHU917538 HRP917538:HRQ917538 IBL917538:IBM917538 ILH917538:ILI917538 IVD917538:IVE917538 JEZ917538:JFA917538 JOV917538:JOW917538 JYR917538:JYS917538 KIN917538:KIO917538 KSJ917538:KSK917538 LCF917538:LCG917538 LMB917538:LMC917538 LVX917538:LVY917538 MFT917538:MFU917538 MPP917538:MPQ917538 MZL917538:MZM917538 NJH917538:NJI917538 NTD917538:NTE917538 OCZ917538:ODA917538 OMV917538:OMW917538 OWR917538:OWS917538 PGN917538:PGO917538 PQJ917538:PQK917538 QAF917538:QAG917538 QKB917538:QKC917538 QTX917538:QTY917538 RDT917538:RDU917538 RNP917538:RNQ917538 RXL917538:RXM917538 SHH917538:SHI917538 SRD917538:SRE917538 TAZ917538:TBA917538 TKV917538:TKW917538 TUR917538:TUS917538 UEN917538:UEO917538 UOJ917538:UOK917538 UYF917538:UYG917538 VIB917538:VIC917538 VRX917538:VRY917538 WBT917538:WBU917538 WLP917538:WLQ917538 WVL917538:WVM917538 D983074:E983074 IZ983074:JA983074 SV983074:SW983074 ACR983074:ACS983074 AMN983074:AMO983074 AWJ983074:AWK983074 BGF983074:BGG983074 BQB983074:BQC983074 BZX983074:BZY983074 CJT983074:CJU983074 CTP983074:CTQ983074 DDL983074:DDM983074 DNH983074:DNI983074 DXD983074:DXE983074 EGZ983074:EHA983074 EQV983074:EQW983074 FAR983074:FAS983074 FKN983074:FKO983074 FUJ983074:FUK983074 GEF983074:GEG983074 GOB983074:GOC983074 GXX983074:GXY983074 HHT983074:HHU983074 HRP983074:HRQ983074 IBL983074:IBM983074 ILH983074:ILI983074 IVD983074:IVE983074 JEZ983074:JFA983074 JOV983074:JOW983074 JYR983074:JYS983074 KIN983074:KIO983074 KSJ983074:KSK983074 LCF983074:LCG983074 LMB983074:LMC983074 LVX983074:LVY983074 MFT983074:MFU983074 MPP983074:MPQ983074 MZL983074:MZM983074 NJH983074:NJI983074 NTD983074:NTE983074 OCZ983074:ODA983074 OMV983074:OMW983074 OWR983074:OWS983074 PGN983074:PGO983074 PQJ983074:PQK983074 QAF983074:QAG983074 QKB983074:QKC983074 QTX983074:QTY983074 RDT983074:RDU983074 RNP983074:RNQ983074 RXL983074:RXM983074 SHH983074:SHI983074 SRD983074:SRE983074 TAZ983074:TBA983074 TKV983074:TKW983074 TUR983074:TUS983074 UEN983074:UEO983074 UOJ983074:UOK983074 UYF983074:UYG983074 VIB983074:VIC983074 VRX983074:VRY983074 WBT983074:WBU983074 WLP983074:WLQ983074">
      <formula1>$D$166:$D$170</formula1>
    </dataValidation>
    <dataValidation type="list" allowBlank="1" showInputMessage="1" showErrorMessage="1" sqref="WVL983076:WVM98307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72:E65572 IZ65572:JA65572 SV65572:SW65572 ACR65572:ACS65572 AMN65572:AMO65572 AWJ65572:AWK65572 BGF65572:BGG65572 BQB65572:BQC65572 BZX65572:BZY65572 CJT65572:CJU65572 CTP65572:CTQ65572 DDL65572:DDM65572 DNH65572:DNI65572 DXD65572:DXE65572 EGZ65572:EHA65572 EQV65572:EQW65572 FAR65572:FAS65572 FKN65572:FKO65572 FUJ65572:FUK65572 GEF65572:GEG65572 GOB65572:GOC65572 GXX65572:GXY65572 HHT65572:HHU65572 HRP65572:HRQ65572 IBL65572:IBM65572 ILH65572:ILI65572 IVD65572:IVE65572 JEZ65572:JFA65572 JOV65572:JOW65572 JYR65572:JYS65572 KIN65572:KIO65572 KSJ65572:KSK65572 LCF65572:LCG65572 LMB65572:LMC65572 LVX65572:LVY65572 MFT65572:MFU65572 MPP65572:MPQ65572 MZL65572:MZM65572 NJH65572:NJI65572 NTD65572:NTE65572 OCZ65572:ODA65572 OMV65572:OMW65572 OWR65572:OWS65572 PGN65572:PGO65572 PQJ65572:PQK65572 QAF65572:QAG65572 QKB65572:QKC65572 QTX65572:QTY65572 RDT65572:RDU65572 RNP65572:RNQ65572 RXL65572:RXM65572 SHH65572:SHI65572 SRD65572:SRE65572 TAZ65572:TBA65572 TKV65572:TKW65572 TUR65572:TUS65572 UEN65572:UEO65572 UOJ65572:UOK65572 UYF65572:UYG65572 VIB65572:VIC65572 VRX65572:VRY65572 WBT65572:WBU65572 WLP65572:WLQ65572 WVL65572:WVM65572 D131108:E131108 IZ131108:JA131108 SV131108:SW131108 ACR131108:ACS131108 AMN131108:AMO131108 AWJ131108:AWK131108 BGF131108:BGG131108 BQB131108:BQC131108 BZX131108:BZY131108 CJT131108:CJU131108 CTP131108:CTQ131108 DDL131108:DDM131108 DNH131108:DNI131108 DXD131108:DXE131108 EGZ131108:EHA131108 EQV131108:EQW131108 FAR131108:FAS131108 FKN131108:FKO131108 FUJ131108:FUK131108 GEF131108:GEG131108 GOB131108:GOC131108 GXX131108:GXY131108 HHT131108:HHU131108 HRP131108:HRQ131108 IBL131108:IBM131108 ILH131108:ILI131108 IVD131108:IVE131108 JEZ131108:JFA131108 JOV131108:JOW131108 JYR131108:JYS131108 KIN131108:KIO131108 KSJ131108:KSK131108 LCF131108:LCG131108 LMB131108:LMC131108 LVX131108:LVY131108 MFT131108:MFU131108 MPP131108:MPQ131108 MZL131108:MZM131108 NJH131108:NJI131108 NTD131108:NTE131108 OCZ131108:ODA131108 OMV131108:OMW131108 OWR131108:OWS131108 PGN131108:PGO131108 PQJ131108:PQK131108 QAF131108:QAG131108 QKB131108:QKC131108 QTX131108:QTY131108 RDT131108:RDU131108 RNP131108:RNQ131108 RXL131108:RXM131108 SHH131108:SHI131108 SRD131108:SRE131108 TAZ131108:TBA131108 TKV131108:TKW131108 TUR131108:TUS131108 UEN131108:UEO131108 UOJ131108:UOK131108 UYF131108:UYG131108 VIB131108:VIC131108 VRX131108:VRY131108 WBT131108:WBU131108 WLP131108:WLQ131108 WVL131108:WVM131108 D196644:E196644 IZ196644:JA196644 SV196644:SW196644 ACR196644:ACS196644 AMN196644:AMO196644 AWJ196644:AWK196644 BGF196644:BGG196644 BQB196644:BQC196644 BZX196644:BZY196644 CJT196644:CJU196644 CTP196644:CTQ196644 DDL196644:DDM196644 DNH196644:DNI196644 DXD196644:DXE196644 EGZ196644:EHA196644 EQV196644:EQW196644 FAR196644:FAS196644 FKN196644:FKO196644 FUJ196644:FUK196644 GEF196644:GEG196644 GOB196644:GOC196644 GXX196644:GXY196644 HHT196644:HHU196644 HRP196644:HRQ196644 IBL196644:IBM196644 ILH196644:ILI196644 IVD196644:IVE196644 JEZ196644:JFA196644 JOV196644:JOW196644 JYR196644:JYS196644 KIN196644:KIO196644 KSJ196644:KSK196644 LCF196644:LCG196644 LMB196644:LMC196644 LVX196644:LVY196644 MFT196644:MFU196644 MPP196644:MPQ196644 MZL196644:MZM196644 NJH196644:NJI196644 NTD196644:NTE196644 OCZ196644:ODA196644 OMV196644:OMW196644 OWR196644:OWS196644 PGN196644:PGO196644 PQJ196644:PQK196644 QAF196644:QAG196644 QKB196644:QKC196644 QTX196644:QTY196644 RDT196644:RDU196644 RNP196644:RNQ196644 RXL196644:RXM196644 SHH196644:SHI196644 SRD196644:SRE196644 TAZ196644:TBA196644 TKV196644:TKW196644 TUR196644:TUS196644 UEN196644:UEO196644 UOJ196644:UOK196644 UYF196644:UYG196644 VIB196644:VIC196644 VRX196644:VRY196644 WBT196644:WBU196644 WLP196644:WLQ196644 WVL196644:WVM196644 D262180:E262180 IZ262180:JA262180 SV262180:SW262180 ACR262180:ACS262180 AMN262180:AMO262180 AWJ262180:AWK262180 BGF262180:BGG262180 BQB262180:BQC262180 BZX262180:BZY262180 CJT262180:CJU262180 CTP262180:CTQ262180 DDL262180:DDM262180 DNH262180:DNI262180 DXD262180:DXE262180 EGZ262180:EHA262180 EQV262180:EQW262180 FAR262180:FAS262180 FKN262180:FKO262180 FUJ262180:FUK262180 GEF262180:GEG262180 GOB262180:GOC262180 GXX262180:GXY262180 HHT262180:HHU262180 HRP262180:HRQ262180 IBL262180:IBM262180 ILH262180:ILI262180 IVD262180:IVE262180 JEZ262180:JFA262180 JOV262180:JOW262180 JYR262180:JYS262180 KIN262180:KIO262180 KSJ262180:KSK262180 LCF262180:LCG262180 LMB262180:LMC262180 LVX262180:LVY262180 MFT262180:MFU262180 MPP262180:MPQ262180 MZL262180:MZM262180 NJH262180:NJI262180 NTD262180:NTE262180 OCZ262180:ODA262180 OMV262180:OMW262180 OWR262180:OWS262180 PGN262180:PGO262180 PQJ262180:PQK262180 QAF262180:QAG262180 QKB262180:QKC262180 QTX262180:QTY262180 RDT262180:RDU262180 RNP262180:RNQ262180 RXL262180:RXM262180 SHH262180:SHI262180 SRD262180:SRE262180 TAZ262180:TBA262180 TKV262180:TKW262180 TUR262180:TUS262180 UEN262180:UEO262180 UOJ262180:UOK262180 UYF262180:UYG262180 VIB262180:VIC262180 VRX262180:VRY262180 WBT262180:WBU262180 WLP262180:WLQ262180 WVL262180:WVM262180 D327716:E327716 IZ327716:JA327716 SV327716:SW327716 ACR327716:ACS327716 AMN327716:AMO327716 AWJ327716:AWK327716 BGF327716:BGG327716 BQB327716:BQC327716 BZX327716:BZY327716 CJT327716:CJU327716 CTP327716:CTQ327716 DDL327716:DDM327716 DNH327716:DNI327716 DXD327716:DXE327716 EGZ327716:EHA327716 EQV327716:EQW327716 FAR327716:FAS327716 FKN327716:FKO327716 FUJ327716:FUK327716 GEF327716:GEG327716 GOB327716:GOC327716 GXX327716:GXY327716 HHT327716:HHU327716 HRP327716:HRQ327716 IBL327716:IBM327716 ILH327716:ILI327716 IVD327716:IVE327716 JEZ327716:JFA327716 JOV327716:JOW327716 JYR327716:JYS327716 KIN327716:KIO327716 KSJ327716:KSK327716 LCF327716:LCG327716 LMB327716:LMC327716 LVX327716:LVY327716 MFT327716:MFU327716 MPP327716:MPQ327716 MZL327716:MZM327716 NJH327716:NJI327716 NTD327716:NTE327716 OCZ327716:ODA327716 OMV327716:OMW327716 OWR327716:OWS327716 PGN327716:PGO327716 PQJ327716:PQK327716 QAF327716:QAG327716 QKB327716:QKC327716 QTX327716:QTY327716 RDT327716:RDU327716 RNP327716:RNQ327716 RXL327716:RXM327716 SHH327716:SHI327716 SRD327716:SRE327716 TAZ327716:TBA327716 TKV327716:TKW327716 TUR327716:TUS327716 UEN327716:UEO327716 UOJ327716:UOK327716 UYF327716:UYG327716 VIB327716:VIC327716 VRX327716:VRY327716 WBT327716:WBU327716 WLP327716:WLQ327716 WVL327716:WVM327716 D393252:E393252 IZ393252:JA393252 SV393252:SW393252 ACR393252:ACS393252 AMN393252:AMO393252 AWJ393252:AWK393252 BGF393252:BGG393252 BQB393252:BQC393252 BZX393252:BZY393252 CJT393252:CJU393252 CTP393252:CTQ393252 DDL393252:DDM393252 DNH393252:DNI393252 DXD393252:DXE393252 EGZ393252:EHA393252 EQV393252:EQW393252 FAR393252:FAS393252 FKN393252:FKO393252 FUJ393252:FUK393252 GEF393252:GEG393252 GOB393252:GOC393252 GXX393252:GXY393252 HHT393252:HHU393252 HRP393252:HRQ393252 IBL393252:IBM393252 ILH393252:ILI393252 IVD393252:IVE393252 JEZ393252:JFA393252 JOV393252:JOW393252 JYR393252:JYS393252 KIN393252:KIO393252 KSJ393252:KSK393252 LCF393252:LCG393252 LMB393252:LMC393252 LVX393252:LVY393252 MFT393252:MFU393252 MPP393252:MPQ393252 MZL393252:MZM393252 NJH393252:NJI393252 NTD393252:NTE393252 OCZ393252:ODA393252 OMV393252:OMW393252 OWR393252:OWS393252 PGN393252:PGO393252 PQJ393252:PQK393252 QAF393252:QAG393252 QKB393252:QKC393252 QTX393252:QTY393252 RDT393252:RDU393252 RNP393252:RNQ393252 RXL393252:RXM393252 SHH393252:SHI393252 SRD393252:SRE393252 TAZ393252:TBA393252 TKV393252:TKW393252 TUR393252:TUS393252 UEN393252:UEO393252 UOJ393252:UOK393252 UYF393252:UYG393252 VIB393252:VIC393252 VRX393252:VRY393252 WBT393252:WBU393252 WLP393252:WLQ393252 WVL393252:WVM393252 D458788:E458788 IZ458788:JA458788 SV458788:SW458788 ACR458788:ACS458788 AMN458788:AMO458788 AWJ458788:AWK458788 BGF458788:BGG458788 BQB458788:BQC458788 BZX458788:BZY458788 CJT458788:CJU458788 CTP458788:CTQ458788 DDL458788:DDM458788 DNH458788:DNI458788 DXD458788:DXE458788 EGZ458788:EHA458788 EQV458788:EQW458788 FAR458788:FAS458788 FKN458788:FKO458788 FUJ458788:FUK458788 GEF458788:GEG458788 GOB458788:GOC458788 GXX458788:GXY458788 HHT458788:HHU458788 HRP458788:HRQ458788 IBL458788:IBM458788 ILH458788:ILI458788 IVD458788:IVE458788 JEZ458788:JFA458788 JOV458788:JOW458788 JYR458788:JYS458788 KIN458788:KIO458788 KSJ458788:KSK458788 LCF458788:LCG458788 LMB458788:LMC458788 LVX458788:LVY458788 MFT458788:MFU458788 MPP458788:MPQ458788 MZL458788:MZM458788 NJH458788:NJI458788 NTD458788:NTE458788 OCZ458788:ODA458788 OMV458788:OMW458788 OWR458788:OWS458788 PGN458788:PGO458788 PQJ458788:PQK458788 QAF458788:QAG458788 QKB458788:QKC458788 QTX458788:QTY458788 RDT458788:RDU458788 RNP458788:RNQ458788 RXL458788:RXM458788 SHH458788:SHI458788 SRD458788:SRE458788 TAZ458788:TBA458788 TKV458788:TKW458788 TUR458788:TUS458788 UEN458788:UEO458788 UOJ458788:UOK458788 UYF458788:UYG458788 VIB458788:VIC458788 VRX458788:VRY458788 WBT458788:WBU458788 WLP458788:WLQ458788 WVL458788:WVM458788 D524324:E524324 IZ524324:JA524324 SV524324:SW524324 ACR524324:ACS524324 AMN524324:AMO524324 AWJ524324:AWK524324 BGF524324:BGG524324 BQB524324:BQC524324 BZX524324:BZY524324 CJT524324:CJU524324 CTP524324:CTQ524324 DDL524324:DDM524324 DNH524324:DNI524324 DXD524324:DXE524324 EGZ524324:EHA524324 EQV524324:EQW524324 FAR524324:FAS524324 FKN524324:FKO524324 FUJ524324:FUK524324 GEF524324:GEG524324 GOB524324:GOC524324 GXX524324:GXY524324 HHT524324:HHU524324 HRP524324:HRQ524324 IBL524324:IBM524324 ILH524324:ILI524324 IVD524324:IVE524324 JEZ524324:JFA524324 JOV524324:JOW524324 JYR524324:JYS524324 KIN524324:KIO524324 KSJ524324:KSK524324 LCF524324:LCG524324 LMB524324:LMC524324 LVX524324:LVY524324 MFT524324:MFU524324 MPP524324:MPQ524324 MZL524324:MZM524324 NJH524324:NJI524324 NTD524324:NTE524324 OCZ524324:ODA524324 OMV524324:OMW524324 OWR524324:OWS524324 PGN524324:PGO524324 PQJ524324:PQK524324 QAF524324:QAG524324 QKB524324:QKC524324 QTX524324:QTY524324 RDT524324:RDU524324 RNP524324:RNQ524324 RXL524324:RXM524324 SHH524324:SHI524324 SRD524324:SRE524324 TAZ524324:TBA524324 TKV524324:TKW524324 TUR524324:TUS524324 UEN524324:UEO524324 UOJ524324:UOK524324 UYF524324:UYG524324 VIB524324:VIC524324 VRX524324:VRY524324 WBT524324:WBU524324 WLP524324:WLQ524324 WVL524324:WVM524324 D589860:E589860 IZ589860:JA589860 SV589860:SW589860 ACR589860:ACS589860 AMN589860:AMO589860 AWJ589860:AWK589860 BGF589860:BGG589860 BQB589860:BQC589860 BZX589860:BZY589860 CJT589860:CJU589860 CTP589860:CTQ589860 DDL589860:DDM589860 DNH589860:DNI589860 DXD589860:DXE589860 EGZ589860:EHA589860 EQV589860:EQW589860 FAR589860:FAS589860 FKN589860:FKO589860 FUJ589860:FUK589860 GEF589860:GEG589860 GOB589860:GOC589860 GXX589860:GXY589860 HHT589860:HHU589860 HRP589860:HRQ589860 IBL589860:IBM589860 ILH589860:ILI589860 IVD589860:IVE589860 JEZ589860:JFA589860 JOV589860:JOW589860 JYR589860:JYS589860 KIN589860:KIO589860 KSJ589860:KSK589860 LCF589860:LCG589860 LMB589860:LMC589860 LVX589860:LVY589860 MFT589860:MFU589860 MPP589860:MPQ589860 MZL589860:MZM589860 NJH589860:NJI589860 NTD589860:NTE589860 OCZ589860:ODA589860 OMV589860:OMW589860 OWR589860:OWS589860 PGN589860:PGO589860 PQJ589860:PQK589860 QAF589860:QAG589860 QKB589860:QKC589860 QTX589860:QTY589860 RDT589860:RDU589860 RNP589860:RNQ589860 RXL589860:RXM589860 SHH589860:SHI589860 SRD589860:SRE589860 TAZ589860:TBA589860 TKV589860:TKW589860 TUR589860:TUS589860 UEN589860:UEO589860 UOJ589860:UOK589860 UYF589860:UYG589860 VIB589860:VIC589860 VRX589860:VRY589860 WBT589860:WBU589860 WLP589860:WLQ589860 WVL589860:WVM589860 D655396:E655396 IZ655396:JA655396 SV655396:SW655396 ACR655396:ACS655396 AMN655396:AMO655396 AWJ655396:AWK655396 BGF655396:BGG655396 BQB655396:BQC655396 BZX655396:BZY655396 CJT655396:CJU655396 CTP655396:CTQ655396 DDL655396:DDM655396 DNH655396:DNI655396 DXD655396:DXE655396 EGZ655396:EHA655396 EQV655396:EQW655396 FAR655396:FAS655396 FKN655396:FKO655396 FUJ655396:FUK655396 GEF655396:GEG655396 GOB655396:GOC655396 GXX655396:GXY655396 HHT655396:HHU655396 HRP655396:HRQ655396 IBL655396:IBM655396 ILH655396:ILI655396 IVD655396:IVE655396 JEZ655396:JFA655396 JOV655396:JOW655396 JYR655396:JYS655396 KIN655396:KIO655396 KSJ655396:KSK655396 LCF655396:LCG655396 LMB655396:LMC655396 LVX655396:LVY655396 MFT655396:MFU655396 MPP655396:MPQ655396 MZL655396:MZM655396 NJH655396:NJI655396 NTD655396:NTE655396 OCZ655396:ODA655396 OMV655396:OMW655396 OWR655396:OWS655396 PGN655396:PGO655396 PQJ655396:PQK655396 QAF655396:QAG655396 QKB655396:QKC655396 QTX655396:QTY655396 RDT655396:RDU655396 RNP655396:RNQ655396 RXL655396:RXM655396 SHH655396:SHI655396 SRD655396:SRE655396 TAZ655396:TBA655396 TKV655396:TKW655396 TUR655396:TUS655396 UEN655396:UEO655396 UOJ655396:UOK655396 UYF655396:UYG655396 VIB655396:VIC655396 VRX655396:VRY655396 WBT655396:WBU655396 WLP655396:WLQ655396 WVL655396:WVM655396 D720932:E720932 IZ720932:JA720932 SV720932:SW720932 ACR720932:ACS720932 AMN720932:AMO720932 AWJ720932:AWK720932 BGF720932:BGG720932 BQB720932:BQC720932 BZX720932:BZY720932 CJT720932:CJU720932 CTP720932:CTQ720932 DDL720932:DDM720932 DNH720932:DNI720932 DXD720932:DXE720932 EGZ720932:EHA720932 EQV720932:EQW720932 FAR720932:FAS720932 FKN720932:FKO720932 FUJ720932:FUK720932 GEF720932:GEG720932 GOB720932:GOC720932 GXX720932:GXY720932 HHT720932:HHU720932 HRP720932:HRQ720932 IBL720932:IBM720932 ILH720932:ILI720932 IVD720932:IVE720932 JEZ720932:JFA720932 JOV720932:JOW720932 JYR720932:JYS720932 KIN720932:KIO720932 KSJ720932:KSK720932 LCF720932:LCG720932 LMB720932:LMC720932 LVX720932:LVY720932 MFT720932:MFU720932 MPP720932:MPQ720932 MZL720932:MZM720932 NJH720932:NJI720932 NTD720932:NTE720932 OCZ720932:ODA720932 OMV720932:OMW720932 OWR720932:OWS720932 PGN720932:PGO720932 PQJ720932:PQK720932 QAF720932:QAG720932 QKB720932:QKC720932 QTX720932:QTY720932 RDT720932:RDU720932 RNP720932:RNQ720932 RXL720932:RXM720932 SHH720932:SHI720932 SRD720932:SRE720932 TAZ720932:TBA720932 TKV720932:TKW720932 TUR720932:TUS720932 UEN720932:UEO720932 UOJ720932:UOK720932 UYF720932:UYG720932 VIB720932:VIC720932 VRX720932:VRY720932 WBT720932:WBU720932 WLP720932:WLQ720932 WVL720932:WVM720932 D786468:E786468 IZ786468:JA786468 SV786468:SW786468 ACR786468:ACS786468 AMN786468:AMO786468 AWJ786468:AWK786468 BGF786468:BGG786468 BQB786468:BQC786468 BZX786468:BZY786468 CJT786468:CJU786468 CTP786468:CTQ786468 DDL786468:DDM786468 DNH786468:DNI786468 DXD786468:DXE786468 EGZ786468:EHA786468 EQV786468:EQW786468 FAR786468:FAS786468 FKN786468:FKO786468 FUJ786468:FUK786468 GEF786468:GEG786468 GOB786468:GOC786468 GXX786468:GXY786468 HHT786468:HHU786468 HRP786468:HRQ786468 IBL786468:IBM786468 ILH786468:ILI786468 IVD786468:IVE786468 JEZ786468:JFA786468 JOV786468:JOW786468 JYR786468:JYS786468 KIN786468:KIO786468 KSJ786468:KSK786468 LCF786468:LCG786468 LMB786468:LMC786468 LVX786468:LVY786468 MFT786468:MFU786468 MPP786468:MPQ786468 MZL786468:MZM786468 NJH786468:NJI786468 NTD786468:NTE786468 OCZ786468:ODA786468 OMV786468:OMW786468 OWR786468:OWS786468 PGN786468:PGO786468 PQJ786468:PQK786468 QAF786468:QAG786468 QKB786468:QKC786468 QTX786468:QTY786468 RDT786468:RDU786468 RNP786468:RNQ786468 RXL786468:RXM786468 SHH786468:SHI786468 SRD786468:SRE786468 TAZ786468:TBA786468 TKV786468:TKW786468 TUR786468:TUS786468 UEN786468:UEO786468 UOJ786468:UOK786468 UYF786468:UYG786468 VIB786468:VIC786468 VRX786468:VRY786468 WBT786468:WBU786468 WLP786468:WLQ786468 WVL786468:WVM786468 D852004:E852004 IZ852004:JA852004 SV852004:SW852004 ACR852004:ACS852004 AMN852004:AMO852004 AWJ852004:AWK852004 BGF852004:BGG852004 BQB852004:BQC852004 BZX852004:BZY852004 CJT852004:CJU852004 CTP852004:CTQ852004 DDL852004:DDM852004 DNH852004:DNI852004 DXD852004:DXE852004 EGZ852004:EHA852004 EQV852004:EQW852004 FAR852004:FAS852004 FKN852004:FKO852004 FUJ852004:FUK852004 GEF852004:GEG852004 GOB852004:GOC852004 GXX852004:GXY852004 HHT852004:HHU852004 HRP852004:HRQ852004 IBL852004:IBM852004 ILH852004:ILI852004 IVD852004:IVE852004 JEZ852004:JFA852004 JOV852004:JOW852004 JYR852004:JYS852004 KIN852004:KIO852004 KSJ852004:KSK852004 LCF852004:LCG852004 LMB852004:LMC852004 LVX852004:LVY852004 MFT852004:MFU852004 MPP852004:MPQ852004 MZL852004:MZM852004 NJH852004:NJI852004 NTD852004:NTE852004 OCZ852004:ODA852004 OMV852004:OMW852004 OWR852004:OWS852004 PGN852004:PGO852004 PQJ852004:PQK852004 QAF852004:QAG852004 QKB852004:QKC852004 QTX852004:QTY852004 RDT852004:RDU852004 RNP852004:RNQ852004 RXL852004:RXM852004 SHH852004:SHI852004 SRD852004:SRE852004 TAZ852004:TBA852004 TKV852004:TKW852004 TUR852004:TUS852004 UEN852004:UEO852004 UOJ852004:UOK852004 UYF852004:UYG852004 VIB852004:VIC852004 VRX852004:VRY852004 WBT852004:WBU852004 WLP852004:WLQ852004 WVL852004:WVM852004 D917540:E917540 IZ917540:JA917540 SV917540:SW917540 ACR917540:ACS917540 AMN917540:AMO917540 AWJ917540:AWK917540 BGF917540:BGG917540 BQB917540:BQC917540 BZX917540:BZY917540 CJT917540:CJU917540 CTP917540:CTQ917540 DDL917540:DDM917540 DNH917540:DNI917540 DXD917540:DXE917540 EGZ917540:EHA917540 EQV917540:EQW917540 FAR917540:FAS917540 FKN917540:FKO917540 FUJ917540:FUK917540 GEF917540:GEG917540 GOB917540:GOC917540 GXX917540:GXY917540 HHT917540:HHU917540 HRP917540:HRQ917540 IBL917540:IBM917540 ILH917540:ILI917540 IVD917540:IVE917540 JEZ917540:JFA917540 JOV917540:JOW917540 JYR917540:JYS917540 KIN917540:KIO917540 KSJ917540:KSK917540 LCF917540:LCG917540 LMB917540:LMC917540 LVX917540:LVY917540 MFT917540:MFU917540 MPP917540:MPQ917540 MZL917540:MZM917540 NJH917540:NJI917540 NTD917540:NTE917540 OCZ917540:ODA917540 OMV917540:OMW917540 OWR917540:OWS917540 PGN917540:PGO917540 PQJ917540:PQK917540 QAF917540:QAG917540 QKB917540:QKC917540 QTX917540:QTY917540 RDT917540:RDU917540 RNP917540:RNQ917540 RXL917540:RXM917540 SHH917540:SHI917540 SRD917540:SRE917540 TAZ917540:TBA917540 TKV917540:TKW917540 TUR917540:TUS917540 UEN917540:UEO917540 UOJ917540:UOK917540 UYF917540:UYG917540 VIB917540:VIC917540 VRX917540:VRY917540 WBT917540:WBU917540 WLP917540:WLQ917540 WVL917540:WVM917540 D983076:E983076 IZ983076:JA983076 SV983076:SW983076 ACR983076:ACS983076 AMN983076:AMO983076 AWJ983076:AWK983076 BGF983076:BGG983076 BQB983076:BQC983076 BZX983076:BZY983076 CJT983076:CJU983076 CTP983076:CTQ983076 DDL983076:DDM983076 DNH983076:DNI983076 DXD983076:DXE983076 EGZ983076:EHA983076 EQV983076:EQW983076 FAR983076:FAS983076 FKN983076:FKO983076 FUJ983076:FUK983076 GEF983076:GEG983076 GOB983076:GOC983076 GXX983076:GXY983076 HHT983076:HHU983076 HRP983076:HRQ983076 IBL983076:IBM983076 ILH983076:ILI983076 IVD983076:IVE983076 JEZ983076:JFA983076 JOV983076:JOW983076 JYR983076:JYS983076 KIN983076:KIO983076 KSJ983076:KSK983076 LCF983076:LCG983076 LMB983076:LMC983076 LVX983076:LVY983076 MFT983076:MFU983076 MPP983076:MPQ983076 MZL983076:MZM983076 NJH983076:NJI983076 NTD983076:NTE983076 OCZ983076:ODA983076 OMV983076:OMW983076 OWR983076:OWS983076 PGN983076:PGO983076 PQJ983076:PQK983076 QAF983076:QAG983076 QKB983076:QKC983076 QTX983076:QTY983076 RDT983076:RDU983076 RNP983076:RNQ983076 RXL983076:RXM983076 SHH983076:SHI983076 SRD983076:SRE983076 TAZ983076:TBA983076 TKV983076:TKW983076 TUR983076:TUS983076 UEN983076:UEO983076 UOJ983076:UOK983076 UYF983076:UYG983076 VIB983076:VIC983076 VRX983076:VRY983076 WBT983076:WBU983076 WLP983076:WLQ983076">
      <formula1>$E$166:$E$171</formula1>
    </dataValidation>
    <dataValidation type="list" allowBlank="1" showInputMessage="1" showErrorMessage="1" sqref="D14:E14">
      <formula1>$D$147:$D$151</formula1>
    </dataValidation>
    <dataValidation type="list" allowBlank="1" showInputMessage="1" showErrorMessage="1" sqref="D13:E13">
      <formula1>$C$152:$C$161</formula1>
    </dataValidation>
    <dataValidation type="list" allowBlank="1" showInputMessage="1" showErrorMessage="1" sqref="D16:E16">
      <formula1>$E$152:$E$157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20" sqref="D20"/>
    </sheetView>
  </sheetViews>
  <sheetFormatPr defaultColWidth="36.85546875" defaultRowHeight="12.75" customHeight="1" x14ac:dyDescent="0.25"/>
  <cols>
    <col min="1" max="1" width="18.5703125" style="129" customWidth="1"/>
    <col min="2" max="3" width="31.42578125" style="128" customWidth="1"/>
    <col min="4" max="4" width="38" style="128" bestFit="1" customWidth="1"/>
    <col min="5" max="6" width="31.42578125" style="128" customWidth="1"/>
    <col min="7" max="7" width="41.5703125" style="128" bestFit="1" customWidth="1"/>
    <col min="8" max="10" width="31.42578125" style="128" customWidth="1"/>
    <col min="11" max="27" width="36.85546875" style="128" customWidth="1"/>
    <col min="28" max="28" width="37" style="128" customWidth="1"/>
    <col min="29" max="35" width="36.85546875" style="128" customWidth="1"/>
    <col min="36" max="44" width="36.85546875" style="129" customWidth="1"/>
    <col min="45" max="45" width="37.140625" style="129" customWidth="1"/>
    <col min="46" max="47" width="36.85546875" style="129" customWidth="1"/>
    <col min="48" max="48" width="36.5703125" style="129" customWidth="1"/>
    <col min="49" max="50" width="36.85546875" style="129" customWidth="1"/>
    <col min="51" max="51" width="36.5703125" style="129" customWidth="1"/>
    <col min="52" max="52" width="37" style="129" customWidth="1"/>
    <col min="53" max="71" width="36.85546875" style="129" customWidth="1"/>
    <col min="72" max="72" width="37" style="129" customWidth="1"/>
    <col min="73" max="90" width="36.85546875" style="129" customWidth="1"/>
    <col min="91" max="91" width="36.5703125" style="129" customWidth="1"/>
    <col min="92" max="104" width="36.85546875" style="129" customWidth="1"/>
    <col min="105" max="105" width="36.5703125" style="129" customWidth="1"/>
    <col min="106" max="108" width="36.85546875" style="129" customWidth="1"/>
    <col min="109" max="109" width="36.5703125" style="129" customWidth="1"/>
    <col min="110" max="117" width="36.85546875" style="129" customWidth="1"/>
    <col min="118" max="118" width="36.5703125" style="129" customWidth="1"/>
    <col min="119" max="256" width="36.85546875" style="129"/>
    <col min="257" max="257" width="18.5703125" style="129" customWidth="1"/>
    <col min="258" max="266" width="31.42578125" style="129" customWidth="1"/>
    <col min="267" max="283" width="36.85546875" style="129" customWidth="1"/>
    <col min="284" max="284" width="37" style="129" customWidth="1"/>
    <col min="285" max="300" width="36.85546875" style="129" customWidth="1"/>
    <col min="301" max="301" width="37.140625" style="129" customWidth="1"/>
    <col min="302" max="303" width="36.85546875" style="129" customWidth="1"/>
    <col min="304" max="304" width="36.5703125" style="129" customWidth="1"/>
    <col min="305" max="306" width="36.85546875" style="129" customWidth="1"/>
    <col min="307" max="307" width="36.5703125" style="129" customWidth="1"/>
    <col min="308" max="308" width="37" style="129" customWidth="1"/>
    <col min="309" max="327" width="36.85546875" style="129" customWidth="1"/>
    <col min="328" max="328" width="37" style="129" customWidth="1"/>
    <col min="329" max="346" width="36.85546875" style="129" customWidth="1"/>
    <col min="347" max="347" width="36.5703125" style="129" customWidth="1"/>
    <col min="348" max="360" width="36.85546875" style="129" customWidth="1"/>
    <col min="361" max="361" width="36.5703125" style="129" customWidth="1"/>
    <col min="362" max="364" width="36.85546875" style="129" customWidth="1"/>
    <col min="365" max="365" width="36.5703125" style="129" customWidth="1"/>
    <col min="366" max="373" width="36.85546875" style="129" customWidth="1"/>
    <col min="374" max="374" width="36.5703125" style="129" customWidth="1"/>
    <col min="375" max="512" width="36.85546875" style="129"/>
    <col min="513" max="513" width="18.5703125" style="129" customWidth="1"/>
    <col min="514" max="522" width="31.42578125" style="129" customWidth="1"/>
    <col min="523" max="539" width="36.85546875" style="129" customWidth="1"/>
    <col min="540" max="540" width="37" style="129" customWidth="1"/>
    <col min="541" max="556" width="36.85546875" style="129" customWidth="1"/>
    <col min="557" max="557" width="37.140625" style="129" customWidth="1"/>
    <col min="558" max="559" width="36.85546875" style="129" customWidth="1"/>
    <col min="560" max="560" width="36.5703125" style="129" customWidth="1"/>
    <col min="561" max="562" width="36.85546875" style="129" customWidth="1"/>
    <col min="563" max="563" width="36.5703125" style="129" customWidth="1"/>
    <col min="564" max="564" width="37" style="129" customWidth="1"/>
    <col min="565" max="583" width="36.85546875" style="129" customWidth="1"/>
    <col min="584" max="584" width="37" style="129" customWidth="1"/>
    <col min="585" max="602" width="36.85546875" style="129" customWidth="1"/>
    <col min="603" max="603" width="36.5703125" style="129" customWidth="1"/>
    <col min="604" max="616" width="36.85546875" style="129" customWidth="1"/>
    <col min="617" max="617" width="36.5703125" style="129" customWidth="1"/>
    <col min="618" max="620" width="36.85546875" style="129" customWidth="1"/>
    <col min="621" max="621" width="36.5703125" style="129" customWidth="1"/>
    <col min="622" max="629" width="36.85546875" style="129" customWidth="1"/>
    <col min="630" max="630" width="36.5703125" style="129" customWidth="1"/>
    <col min="631" max="768" width="36.85546875" style="129"/>
    <col min="769" max="769" width="18.5703125" style="129" customWidth="1"/>
    <col min="770" max="778" width="31.42578125" style="129" customWidth="1"/>
    <col min="779" max="795" width="36.85546875" style="129" customWidth="1"/>
    <col min="796" max="796" width="37" style="129" customWidth="1"/>
    <col min="797" max="812" width="36.85546875" style="129" customWidth="1"/>
    <col min="813" max="813" width="37.140625" style="129" customWidth="1"/>
    <col min="814" max="815" width="36.85546875" style="129" customWidth="1"/>
    <col min="816" max="816" width="36.5703125" style="129" customWidth="1"/>
    <col min="817" max="818" width="36.85546875" style="129" customWidth="1"/>
    <col min="819" max="819" width="36.5703125" style="129" customWidth="1"/>
    <col min="820" max="820" width="37" style="129" customWidth="1"/>
    <col min="821" max="839" width="36.85546875" style="129" customWidth="1"/>
    <col min="840" max="840" width="37" style="129" customWidth="1"/>
    <col min="841" max="858" width="36.85546875" style="129" customWidth="1"/>
    <col min="859" max="859" width="36.5703125" style="129" customWidth="1"/>
    <col min="860" max="872" width="36.85546875" style="129" customWidth="1"/>
    <col min="873" max="873" width="36.5703125" style="129" customWidth="1"/>
    <col min="874" max="876" width="36.85546875" style="129" customWidth="1"/>
    <col min="877" max="877" width="36.5703125" style="129" customWidth="1"/>
    <col min="878" max="885" width="36.85546875" style="129" customWidth="1"/>
    <col min="886" max="886" width="36.5703125" style="129" customWidth="1"/>
    <col min="887" max="1024" width="36.85546875" style="129"/>
    <col min="1025" max="1025" width="18.5703125" style="129" customWidth="1"/>
    <col min="1026" max="1034" width="31.42578125" style="129" customWidth="1"/>
    <col min="1035" max="1051" width="36.85546875" style="129" customWidth="1"/>
    <col min="1052" max="1052" width="37" style="129" customWidth="1"/>
    <col min="1053" max="1068" width="36.85546875" style="129" customWidth="1"/>
    <col min="1069" max="1069" width="37.140625" style="129" customWidth="1"/>
    <col min="1070" max="1071" width="36.85546875" style="129" customWidth="1"/>
    <col min="1072" max="1072" width="36.5703125" style="129" customWidth="1"/>
    <col min="1073" max="1074" width="36.85546875" style="129" customWidth="1"/>
    <col min="1075" max="1075" width="36.5703125" style="129" customWidth="1"/>
    <col min="1076" max="1076" width="37" style="129" customWidth="1"/>
    <col min="1077" max="1095" width="36.85546875" style="129" customWidth="1"/>
    <col min="1096" max="1096" width="37" style="129" customWidth="1"/>
    <col min="1097" max="1114" width="36.85546875" style="129" customWidth="1"/>
    <col min="1115" max="1115" width="36.5703125" style="129" customWidth="1"/>
    <col min="1116" max="1128" width="36.85546875" style="129" customWidth="1"/>
    <col min="1129" max="1129" width="36.5703125" style="129" customWidth="1"/>
    <col min="1130" max="1132" width="36.85546875" style="129" customWidth="1"/>
    <col min="1133" max="1133" width="36.5703125" style="129" customWidth="1"/>
    <col min="1134" max="1141" width="36.85546875" style="129" customWidth="1"/>
    <col min="1142" max="1142" width="36.5703125" style="129" customWidth="1"/>
    <col min="1143" max="1280" width="36.85546875" style="129"/>
    <col min="1281" max="1281" width="18.5703125" style="129" customWidth="1"/>
    <col min="1282" max="1290" width="31.42578125" style="129" customWidth="1"/>
    <col min="1291" max="1307" width="36.85546875" style="129" customWidth="1"/>
    <col min="1308" max="1308" width="37" style="129" customWidth="1"/>
    <col min="1309" max="1324" width="36.85546875" style="129" customWidth="1"/>
    <col min="1325" max="1325" width="37.140625" style="129" customWidth="1"/>
    <col min="1326" max="1327" width="36.85546875" style="129" customWidth="1"/>
    <col min="1328" max="1328" width="36.5703125" style="129" customWidth="1"/>
    <col min="1329" max="1330" width="36.85546875" style="129" customWidth="1"/>
    <col min="1331" max="1331" width="36.5703125" style="129" customWidth="1"/>
    <col min="1332" max="1332" width="37" style="129" customWidth="1"/>
    <col min="1333" max="1351" width="36.85546875" style="129" customWidth="1"/>
    <col min="1352" max="1352" width="37" style="129" customWidth="1"/>
    <col min="1353" max="1370" width="36.85546875" style="129" customWidth="1"/>
    <col min="1371" max="1371" width="36.5703125" style="129" customWidth="1"/>
    <col min="1372" max="1384" width="36.85546875" style="129" customWidth="1"/>
    <col min="1385" max="1385" width="36.5703125" style="129" customWidth="1"/>
    <col min="1386" max="1388" width="36.85546875" style="129" customWidth="1"/>
    <col min="1389" max="1389" width="36.5703125" style="129" customWidth="1"/>
    <col min="1390" max="1397" width="36.85546875" style="129" customWidth="1"/>
    <col min="1398" max="1398" width="36.5703125" style="129" customWidth="1"/>
    <col min="1399" max="1536" width="36.85546875" style="129"/>
    <col min="1537" max="1537" width="18.5703125" style="129" customWidth="1"/>
    <col min="1538" max="1546" width="31.42578125" style="129" customWidth="1"/>
    <col min="1547" max="1563" width="36.85546875" style="129" customWidth="1"/>
    <col min="1564" max="1564" width="37" style="129" customWidth="1"/>
    <col min="1565" max="1580" width="36.85546875" style="129" customWidth="1"/>
    <col min="1581" max="1581" width="37.140625" style="129" customWidth="1"/>
    <col min="1582" max="1583" width="36.85546875" style="129" customWidth="1"/>
    <col min="1584" max="1584" width="36.5703125" style="129" customWidth="1"/>
    <col min="1585" max="1586" width="36.85546875" style="129" customWidth="1"/>
    <col min="1587" max="1587" width="36.5703125" style="129" customWidth="1"/>
    <col min="1588" max="1588" width="37" style="129" customWidth="1"/>
    <col min="1589" max="1607" width="36.85546875" style="129" customWidth="1"/>
    <col min="1608" max="1608" width="37" style="129" customWidth="1"/>
    <col min="1609" max="1626" width="36.85546875" style="129" customWidth="1"/>
    <col min="1627" max="1627" width="36.5703125" style="129" customWidth="1"/>
    <col min="1628" max="1640" width="36.85546875" style="129" customWidth="1"/>
    <col min="1641" max="1641" width="36.5703125" style="129" customWidth="1"/>
    <col min="1642" max="1644" width="36.85546875" style="129" customWidth="1"/>
    <col min="1645" max="1645" width="36.5703125" style="129" customWidth="1"/>
    <col min="1646" max="1653" width="36.85546875" style="129" customWidth="1"/>
    <col min="1654" max="1654" width="36.5703125" style="129" customWidth="1"/>
    <col min="1655" max="1792" width="36.85546875" style="129"/>
    <col min="1793" max="1793" width="18.5703125" style="129" customWidth="1"/>
    <col min="1794" max="1802" width="31.42578125" style="129" customWidth="1"/>
    <col min="1803" max="1819" width="36.85546875" style="129" customWidth="1"/>
    <col min="1820" max="1820" width="37" style="129" customWidth="1"/>
    <col min="1821" max="1836" width="36.85546875" style="129" customWidth="1"/>
    <col min="1837" max="1837" width="37.140625" style="129" customWidth="1"/>
    <col min="1838" max="1839" width="36.85546875" style="129" customWidth="1"/>
    <col min="1840" max="1840" width="36.5703125" style="129" customWidth="1"/>
    <col min="1841" max="1842" width="36.85546875" style="129" customWidth="1"/>
    <col min="1843" max="1843" width="36.5703125" style="129" customWidth="1"/>
    <col min="1844" max="1844" width="37" style="129" customWidth="1"/>
    <col min="1845" max="1863" width="36.85546875" style="129" customWidth="1"/>
    <col min="1864" max="1864" width="37" style="129" customWidth="1"/>
    <col min="1865" max="1882" width="36.85546875" style="129" customWidth="1"/>
    <col min="1883" max="1883" width="36.5703125" style="129" customWidth="1"/>
    <col min="1884" max="1896" width="36.85546875" style="129" customWidth="1"/>
    <col min="1897" max="1897" width="36.5703125" style="129" customWidth="1"/>
    <col min="1898" max="1900" width="36.85546875" style="129" customWidth="1"/>
    <col min="1901" max="1901" width="36.5703125" style="129" customWidth="1"/>
    <col min="1902" max="1909" width="36.85546875" style="129" customWidth="1"/>
    <col min="1910" max="1910" width="36.5703125" style="129" customWidth="1"/>
    <col min="1911" max="2048" width="36.85546875" style="129"/>
    <col min="2049" max="2049" width="18.5703125" style="129" customWidth="1"/>
    <col min="2050" max="2058" width="31.42578125" style="129" customWidth="1"/>
    <col min="2059" max="2075" width="36.85546875" style="129" customWidth="1"/>
    <col min="2076" max="2076" width="37" style="129" customWidth="1"/>
    <col min="2077" max="2092" width="36.85546875" style="129" customWidth="1"/>
    <col min="2093" max="2093" width="37.140625" style="129" customWidth="1"/>
    <col min="2094" max="2095" width="36.85546875" style="129" customWidth="1"/>
    <col min="2096" max="2096" width="36.5703125" style="129" customWidth="1"/>
    <col min="2097" max="2098" width="36.85546875" style="129" customWidth="1"/>
    <col min="2099" max="2099" width="36.5703125" style="129" customWidth="1"/>
    <col min="2100" max="2100" width="37" style="129" customWidth="1"/>
    <col min="2101" max="2119" width="36.85546875" style="129" customWidth="1"/>
    <col min="2120" max="2120" width="37" style="129" customWidth="1"/>
    <col min="2121" max="2138" width="36.85546875" style="129" customWidth="1"/>
    <col min="2139" max="2139" width="36.5703125" style="129" customWidth="1"/>
    <col min="2140" max="2152" width="36.85546875" style="129" customWidth="1"/>
    <col min="2153" max="2153" width="36.5703125" style="129" customWidth="1"/>
    <col min="2154" max="2156" width="36.85546875" style="129" customWidth="1"/>
    <col min="2157" max="2157" width="36.5703125" style="129" customWidth="1"/>
    <col min="2158" max="2165" width="36.85546875" style="129" customWidth="1"/>
    <col min="2166" max="2166" width="36.5703125" style="129" customWidth="1"/>
    <col min="2167" max="2304" width="36.85546875" style="129"/>
    <col min="2305" max="2305" width="18.5703125" style="129" customWidth="1"/>
    <col min="2306" max="2314" width="31.42578125" style="129" customWidth="1"/>
    <col min="2315" max="2331" width="36.85546875" style="129" customWidth="1"/>
    <col min="2332" max="2332" width="37" style="129" customWidth="1"/>
    <col min="2333" max="2348" width="36.85546875" style="129" customWidth="1"/>
    <col min="2349" max="2349" width="37.140625" style="129" customWidth="1"/>
    <col min="2350" max="2351" width="36.85546875" style="129" customWidth="1"/>
    <col min="2352" max="2352" width="36.5703125" style="129" customWidth="1"/>
    <col min="2353" max="2354" width="36.85546875" style="129" customWidth="1"/>
    <col min="2355" max="2355" width="36.5703125" style="129" customWidth="1"/>
    <col min="2356" max="2356" width="37" style="129" customWidth="1"/>
    <col min="2357" max="2375" width="36.85546875" style="129" customWidth="1"/>
    <col min="2376" max="2376" width="37" style="129" customWidth="1"/>
    <col min="2377" max="2394" width="36.85546875" style="129" customWidth="1"/>
    <col min="2395" max="2395" width="36.5703125" style="129" customWidth="1"/>
    <col min="2396" max="2408" width="36.85546875" style="129" customWidth="1"/>
    <col min="2409" max="2409" width="36.5703125" style="129" customWidth="1"/>
    <col min="2410" max="2412" width="36.85546875" style="129" customWidth="1"/>
    <col min="2413" max="2413" width="36.5703125" style="129" customWidth="1"/>
    <col min="2414" max="2421" width="36.85546875" style="129" customWidth="1"/>
    <col min="2422" max="2422" width="36.5703125" style="129" customWidth="1"/>
    <col min="2423" max="2560" width="36.85546875" style="129"/>
    <col min="2561" max="2561" width="18.5703125" style="129" customWidth="1"/>
    <col min="2562" max="2570" width="31.42578125" style="129" customWidth="1"/>
    <col min="2571" max="2587" width="36.85546875" style="129" customWidth="1"/>
    <col min="2588" max="2588" width="37" style="129" customWidth="1"/>
    <col min="2589" max="2604" width="36.85546875" style="129" customWidth="1"/>
    <col min="2605" max="2605" width="37.140625" style="129" customWidth="1"/>
    <col min="2606" max="2607" width="36.85546875" style="129" customWidth="1"/>
    <col min="2608" max="2608" width="36.5703125" style="129" customWidth="1"/>
    <col min="2609" max="2610" width="36.85546875" style="129" customWidth="1"/>
    <col min="2611" max="2611" width="36.5703125" style="129" customWidth="1"/>
    <col min="2612" max="2612" width="37" style="129" customWidth="1"/>
    <col min="2613" max="2631" width="36.85546875" style="129" customWidth="1"/>
    <col min="2632" max="2632" width="37" style="129" customWidth="1"/>
    <col min="2633" max="2650" width="36.85546875" style="129" customWidth="1"/>
    <col min="2651" max="2651" width="36.5703125" style="129" customWidth="1"/>
    <col min="2652" max="2664" width="36.85546875" style="129" customWidth="1"/>
    <col min="2665" max="2665" width="36.5703125" style="129" customWidth="1"/>
    <col min="2666" max="2668" width="36.85546875" style="129" customWidth="1"/>
    <col min="2669" max="2669" width="36.5703125" style="129" customWidth="1"/>
    <col min="2670" max="2677" width="36.85546875" style="129" customWidth="1"/>
    <col min="2678" max="2678" width="36.5703125" style="129" customWidth="1"/>
    <col min="2679" max="2816" width="36.85546875" style="129"/>
    <col min="2817" max="2817" width="18.5703125" style="129" customWidth="1"/>
    <col min="2818" max="2826" width="31.42578125" style="129" customWidth="1"/>
    <col min="2827" max="2843" width="36.85546875" style="129" customWidth="1"/>
    <col min="2844" max="2844" width="37" style="129" customWidth="1"/>
    <col min="2845" max="2860" width="36.85546875" style="129" customWidth="1"/>
    <col min="2861" max="2861" width="37.140625" style="129" customWidth="1"/>
    <col min="2862" max="2863" width="36.85546875" style="129" customWidth="1"/>
    <col min="2864" max="2864" width="36.5703125" style="129" customWidth="1"/>
    <col min="2865" max="2866" width="36.85546875" style="129" customWidth="1"/>
    <col min="2867" max="2867" width="36.5703125" style="129" customWidth="1"/>
    <col min="2868" max="2868" width="37" style="129" customWidth="1"/>
    <col min="2869" max="2887" width="36.85546875" style="129" customWidth="1"/>
    <col min="2888" max="2888" width="37" style="129" customWidth="1"/>
    <col min="2889" max="2906" width="36.85546875" style="129" customWidth="1"/>
    <col min="2907" max="2907" width="36.5703125" style="129" customWidth="1"/>
    <col min="2908" max="2920" width="36.85546875" style="129" customWidth="1"/>
    <col min="2921" max="2921" width="36.5703125" style="129" customWidth="1"/>
    <col min="2922" max="2924" width="36.85546875" style="129" customWidth="1"/>
    <col min="2925" max="2925" width="36.5703125" style="129" customWidth="1"/>
    <col min="2926" max="2933" width="36.85546875" style="129" customWidth="1"/>
    <col min="2934" max="2934" width="36.5703125" style="129" customWidth="1"/>
    <col min="2935" max="3072" width="36.85546875" style="129"/>
    <col min="3073" max="3073" width="18.5703125" style="129" customWidth="1"/>
    <col min="3074" max="3082" width="31.42578125" style="129" customWidth="1"/>
    <col min="3083" max="3099" width="36.85546875" style="129" customWidth="1"/>
    <col min="3100" max="3100" width="37" style="129" customWidth="1"/>
    <col min="3101" max="3116" width="36.85546875" style="129" customWidth="1"/>
    <col min="3117" max="3117" width="37.140625" style="129" customWidth="1"/>
    <col min="3118" max="3119" width="36.85546875" style="129" customWidth="1"/>
    <col min="3120" max="3120" width="36.5703125" style="129" customWidth="1"/>
    <col min="3121" max="3122" width="36.85546875" style="129" customWidth="1"/>
    <col min="3123" max="3123" width="36.5703125" style="129" customWidth="1"/>
    <col min="3124" max="3124" width="37" style="129" customWidth="1"/>
    <col min="3125" max="3143" width="36.85546875" style="129" customWidth="1"/>
    <col min="3144" max="3144" width="37" style="129" customWidth="1"/>
    <col min="3145" max="3162" width="36.85546875" style="129" customWidth="1"/>
    <col min="3163" max="3163" width="36.5703125" style="129" customWidth="1"/>
    <col min="3164" max="3176" width="36.85546875" style="129" customWidth="1"/>
    <col min="3177" max="3177" width="36.5703125" style="129" customWidth="1"/>
    <col min="3178" max="3180" width="36.85546875" style="129" customWidth="1"/>
    <col min="3181" max="3181" width="36.5703125" style="129" customWidth="1"/>
    <col min="3182" max="3189" width="36.85546875" style="129" customWidth="1"/>
    <col min="3190" max="3190" width="36.5703125" style="129" customWidth="1"/>
    <col min="3191" max="3328" width="36.85546875" style="129"/>
    <col min="3329" max="3329" width="18.5703125" style="129" customWidth="1"/>
    <col min="3330" max="3338" width="31.42578125" style="129" customWidth="1"/>
    <col min="3339" max="3355" width="36.85546875" style="129" customWidth="1"/>
    <col min="3356" max="3356" width="37" style="129" customWidth="1"/>
    <col min="3357" max="3372" width="36.85546875" style="129" customWidth="1"/>
    <col min="3373" max="3373" width="37.140625" style="129" customWidth="1"/>
    <col min="3374" max="3375" width="36.85546875" style="129" customWidth="1"/>
    <col min="3376" max="3376" width="36.5703125" style="129" customWidth="1"/>
    <col min="3377" max="3378" width="36.85546875" style="129" customWidth="1"/>
    <col min="3379" max="3379" width="36.5703125" style="129" customWidth="1"/>
    <col min="3380" max="3380" width="37" style="129" customWidth="1"/>
    <col min="3381" max="3399" width="36.85546875" style="129" customWidth="1"/>
    <col min="3400" max="3400" width="37" style="129" customWidth="1"/>
    <col min="3401" max="3418" width="36.85546875" style="129" customWidth="1"/>
    <col min="3419" max="3419" width="36.5703125" style="129" customWidth="1"/>
    <col min="3420" max="3432" width="36.85546875" style="129" customWidth="1"/>
    <col min="3433" max="3433" width="36.5703125" style="129" customWidth="1"/>
    <col min="3434" max="3436" width="36.85546875" style="129" customWidth="1"/>
    <col min="3437" max="3437" width="36.5703125" style="129" customWidth="1"/>
    <col min="3438" max="3445" width="36.85546875" style="129" customWidth="1"/>
    <col min="3446" max="3446" width="36.5703125" style="129" customWidth="1"/>
    <col min="3447" max="3584" width="36.85546875" style="129"/>
    <col min="3585" max="3585" width="18.5703125" style="129" customWidth="1"/>
    <col min="3586" max="3594" width="31.42578125" style="129" customWidth="1"/>
    <col min="3595" max="3611" width="36.85546875" style="129" customWidth="1"/>
    <col min="3612" max="3612" width="37" style="129" customWidth="1"/>
    <col min="3613" max="3628" width="36.85546875" style="129" customWidth="1"/>
    <col min="3629" max="3629" width="37.140625" style="129" customWidth="1"/>
    <col min="3630" max="3631" width="36.85546875" style="129" customWidth="1"/>
    <col min="3632" max="3632" width="36.5703125" style="129" customWidth="1"/>
    <col min="3633" max="3634" width="36.85546875" style="129" customWidth="1"/>
    <col min="3635" max="3635" width="36.5703125" style="129" customWidth="1"/>
    <col min="3636" max="3636" width="37" style="129" customWidth="1"/>
    <col min="3637" max="3655" width="36.85546875" style="129" customWidth="1"/>
    <col min="3656" max="3656" width="37" style="129" customWidth="1"/>
    <col min="3657" max="3674" width="36.85546875" style="129" customWidth="1"/>
    <col min="3675" max="3675" width="36.5703125" style="129" customWidth="1"/>
    <col min="3676" max="3688" width="36.85546875" style="129" customWidth="1"/>
    <col min="3689" max="3689" width="36.5703125" style="129" customWidth="1"/>
    <col min="3690" max="3692" width="36.85546875" style="129" customWidth="1"/>
    <col min="3693" max="3693" width="36.5703125" style="129" customWidth="1"/>
    <col min="3694" max="3701" width="36.85546875" style="129" customWidth="1"/>
    <col min="3702" max="3702" width="36.5703125" style="129" customWidth="1"/>
    <col min="3703" max="3840" width="36.85546875" style="129"/>
    <col min="3841" max="3841" width="18.5703125" style="129" customWidth="1"/>
    <col min="3842" max="3850" width="31.42578125" style="129" customWidth="1"/>
    <col min="3851" max="3867" width="36.85546875" style="129" customWidth="1"/>
    <col min="3868" max="3868" width="37" style="129" customWidth="1"/>
    <col min="3869" max="3884" width="36.85546875" style="129" customWidth="1"/>
    <col min="3885" max="3885" width="37.140625" style="129" customWidth="1"/>
    <col min="3886" max="3887" width="36.85546875" style="129" customWidth="1"/>
    <col min="3888" max="3888" width="36.5703125" style="129" customWidth="1"/>
    <col min="3889" max="3890" width="36.85546875" style="129" customWidth="1"/>
    <col min="3891" max="3891" width="36.5703125" style="129" customWidth="1"/>
    <col min="3892" max="3892" width="37" style="129" customWidth="1"/>
    <col min="3893" max="3911" width="36.85546875" style="129" customWidth="1"/>
    <col min="3912" max="3912" width="37" style="129" customWidth="1"/>
    <col min="3913" max="3930" width="36.85546875" style="129" customWidth="1"/>
    <col min="3931" max="3931" width="36.5703125" style="129" customWidth="1"/>
    <col min="3932" max="3944" width="36.85546875" style="129" customWidth="1"/>
    <col min="3945" max="3945" width="36.5703125" style="129" customWidth="1"/>
    <col min="3946" max="3948" width="36.85546875" style="129" customWidth="1"/>
    <col min="3949" max="3949" width="36.5703125" style="129" customWidth="1"/>
    <col min="3950" max="3957" width="36.85546875" style="129" customWidth="1"/>
    <col min="3958" max="3958" width="36.5703125" style="129" customWidth="1"/>
    <col min="3959" max="4096" width="36.85546875" style="129"/>
    <col min="4097" max="4097" width="18.5703125" style="129" customWidth="1"/>
    <col min="4098" max="4106" width="31.42578125" style="129" customWidth="1"/>
    <col min="4107" max="4123" width="36.85546875" style="129" customWidth="1"/>
    <col min="4124" max="4124" width="37" style="129" customWidth="1"/>
    <col min="4125" max="4140" width="36.85546875" style="129" customWidth="1"/>
    <col min="4141" max="4141" width="37.140625" style="129" customWidth="1"/>
    <col min="4142" max="4143" width="36.85546875" style="129" customWidth="1"/>
    <col min="4144" max="4144" width="36.5703125" style="129" customWidth="1"/>
    <col min="4145" max="4146" width="36.85546875" style="129" customWidth="1"/>
    <col min="4147" max="4147" width="36.5703125" style="129" customWidth="1"/>
    <col min="4148" max="4148" width="37" style="129" customWidth="1"/>
    <col min="4149" max="4167" width="36.85546875" style="129" customWidth="1"/>
    <col min="4168" max="4168" width="37" style="129" customWidth="1"/>
    <col min="4169" max="4186" width="36.85546875" style="129" customWidth="1"/>
    <col min="4187" max="4187" width="36.5703125" style="129" customWidth="1"/>
    <col min="4188" max="4200" width="36.85546875" style="129" customWidth="1"/>
    <col min="4201" max="4201" width="36.5703125" style="129" customWidth="1"/>
    <col min="4202" max="4204" width="36.85546875" style="129" customWidth="1"/>
    <col min="4205" max="4205" width="36.5703125" style="129" customWidth="1"/>
    <col min="4206" max="4213" width="36.85546875" style="129" customWidth="1"/>
    <col min="4214" max="4214" width="36.5703125" style="129" customWidth="1"/>
    <col min="4215" max="4352" width="36.85546875" style="129"/>
    <col min="4353" max="4353" width="18.5703125" style="129" customWidth="1"/>
    <col min="4354" max="4362" width="31.42578125" style="129" customWidth="1"/>
    <col min="4363" max="4379" width="36.85546875" style="129" customWidth="1"/>
    <col min="4380" max="4380" width="37" style="129" customWidth="1"/>
    <col min="4381" max="4396" width="36.85546875" style="129" customWidth="1"/>
    <col min="4397" max="4397" width="37.140625" style="129" customWidth="1"/>
    <col min="4398" max="4399" width="36.85546875" style="129" customWidth="1"/>
    <col min="4400" max="4400" width="36.5703125" style="129" customWidth="1"/>
    <col min="4401" max="4402" width="36.85546875" style="129" customWidth="1"/>
    <col min="4403" max="4403" width="36.5703125" style="129" customWidth="1"/>
    <col min="4404" max="4404" width="37" style="129" customWidth="1"/>
    <col min="4405" max="4423" width="36.85546875" style="129" customWidth="1"/>
    <col min="4424" max="4424" width="37" style="129" customWidth="1"/>
    <col min="4425" max="4442" width="36.85546875" style="129" customWidth="1"/>
    <col min="4443" max="4443" width="36.5703125" style="129" customWidth="1"/>
    <col min="4444" max="4456" width="36.85546875" style="129" customWidth="1"/>
    <col min="4457" max="4457" width="36.5703125" style="129" customWidth="1"/>
    <col min="4458" max="4460" width="36.85546875" style="129" customWidth="1"/>
    <col min="4461" max="4461" width="36.5703125" style="129" customWidth="1"/>
    <col min="4462" max="4469" width="36.85546875" style="129" customWidth="1"/>
    <col min="4470" max="4470" width="36.5703125" style="129" customWidth="1"/>
    <col min="4471" max="4608" width="36.85546875" style="129"/>
    <col min="4609" max="4609" width="18.5703125" style="129" customWidth="1"/>
    <col min="4610" max="4618" width="31.42578125" style="129" customWidth="1"/>
    <col min="4619" max="4635" width="36.85546875" style="129" customWidth="1"/>
    <col min="4636" max="4636" width="37" style="129" customWidth="1"/>
    <col min="4637" max="4652" width="36.85546875" style="129" customWidth="1"/>
    <col min="4653" max="4653" width="37.140625" style="129" customWidth="1"/>
    <col min="4654" max="4655" width="36.85546875" style="129" customWidth="1"/>
    <col min="4656" max="4656" width="36.5703125" style="129" customWidth="1"/>
    <col min="4657" max="4658" width="36.85546875" style="129" customWidth="1"/>
    <col min="4659" max="4659" width="36.5703125" style="129" customWidth="1"/>
    <col min="4660" max="4660" width="37" style="129" customWidth="1"/>
    <col min="4661" max="4679" width="36.85546875" style="129" customWidth="1"/>
    <col min="4680" max="4680" width="37" style="129" customWidth="1"/>
    <col min="4681" max="4698" width="36.85546875" style="129" customWidth="1"/>
    <col min="4699" max="4699" width="36.5703125" style="129" customWidth="1"/>
    <col min="4700" max="4712" width="36.85546875" style="129" customWidth="1"/>
    <col min="4713" max="4713" width="36.5703125" style="129" customWidth="1"/>
    <col min="4714" max="4716" width="36.85546875" style="129" customWidth="1"/>
    <col min="4717" max="4717" width="36.5703125" style="129" customWidth="1"/>
    <col min="4718" max="4725" width="36.85546875" style="129" customWidth="1"/>
    <col min="4726" max="4726" width="36.5703125" style="129" customWidth="1"/>
    <col min="4727" max="4864" width="36.85546875" style="129"/>
    <col min="4865" max="4865" width="18.5703125" style="129" customWidth="1"/>
    <col min="4866" max="4874" width="31.42578125" style="129" customWidth="1"/>
    <col min="4875" max="4891" width="36.85546875" style="129" customWidth="1"/>
    <col min="4892" max="4892" width="37" style="129" customWidth="1"/>
    <col min="4893" max="4908" width="36.85546875" style="129" customWidth="1"/>
    <col min="4909" max="4909" width="37.140625" style="129" customWidth="1"/>
    <col min="4910" max="4911" width="36.85546875" style="129" customWidth="1"/>
    <col min="4912" max="4912" width="36.5703125" style="129" customWidth="1"/>
    <col min="4913" max="4914" width="36.85546875" style="129" customWidth="1"/>
    <col min="4915" max="4915" width="36.5703125" style="129" customWidth="1"/>
    <col min="4916" max="4916" width="37" style="129" customWidth="1"/>
    <col min="4917" max="4935" width="36.85546875" style="129" customWidth="1"/>
    <col min="4936" max="4936" width="37" style="129" customWidth="1"/>
    <col min="4937" max="4954" width="36.85546875" style="129" customWidth="1"/>
    <col min="4955" max="4955" width="36.5703125" style="129" customWidth="1"/>
    <col min="4956" max="4968" width="36.85546875" style="129" customWidth="1"/>
    <col min="4969" max="4969" width="36.5703125" style="129" customWidth="1"/>
    <col min="4970" max="4972" width="36.85546875" style="129" customWidth="1"/>
    <col min="4973" max="4973" width="36.5703125" style="129" customWidth="1"/>
    <col min="4974" max="4981" width="36.85546875" style="129" customWidth="1"/>
    <col min="4982" max="4982" width="36.5703125" style="129" customWidth="1"/>
    <col min="4983" max="5120" width="36.85546875" style="129"/>
    <col min="5121" max="5121" width="18.5703125" style="129" customWidth="1"/>
    <col min="5122" max="5130" width="31.42578125" style="129" customWidth="1"/>
    <col min="5131" max="5147" width="36.85546875" style="129" customWidth="1"/>
    <col min="5148" max="5148" width="37" style="129" customWidth="1"/>
    <col min="5149" max="5164" width="36.85546875" style="129" customWidth="1"/>
    <col min="5165" max="5165" width="37.140625" style="129" customWidth="1"/>
    <col min="5166" max="5167" width="36.85546875" style="129" customWidth="1"/>
    <col min="5168" max="5168" width="36.5703125" style="129" customWidth="1"/>
    <col min="5169" max="5170" width="36.85546875" style="129" customWidth="1"/>
    <col min="5171" max="5171" width="36.5703125" style="129" customWidth="1"/>
    <col min="5172" max="5172" width="37" style="129" customWidth="1"/>
    <col min="5173" max="5191" width="36.85546875" style="129" customWidth="1"/>
    <col min="5192" max="5192" width="37" style="129" customWidth="1"/>
    <col min="5193" max="5210" width="36.85546875" style="129" customWidth="1"/>
    <col min="5211" max="5211" width="36.5703125" style="129" customWidth="1"/>
    <col min="5212" max="5224" width="36.85546875" style="129" customWidth="1"/>
    <col min="5225" max="5225" width="36.5703125" style="129" customWidth="1"/>
    <col min="5226" max="5228" width="36.85546875" style="129" customWidth="1"/>
    <col min="5229" max="5229" width="36.5703125" style="129" customWidth="1"/>
    <col min="5230" max="5237" width="36.85546875" style="129" customWidth="1"/>
    <col min="5238" max="5238" width="36.5703125" style="129" customWidth="1"/>
    <col min="5239" max="5376" width="36.85546875" style="129"/>
    <col min="5377" max="5377" width="18.5703125" style="129" customWidth="1"/>
    <col min="5378" max="5386" width="31.42578125" style="129" customWidth="1"/>
    <col min="5387" max="5403" width="36.85546875" style="129" customWidth="1"/>
    <col min="5404" max="5404" width="37" style="129" customWidth="1"/>
    <col min="5405" max="5420" width="36.85546875" style="129" customWidth="1"/>
    <col min="5421" max="5421" width="37.140625" style="129" customWidth="1"/>
    <col min="5422" max="5423" width="36.85546875" style="129" customWidth="1"/>
    <col min="5424" max="5424" width="36.5703125" style="129" customWidth="1"/>
    <col min="5425" max="5426" width="36.85546875" style="129" customWidth="1"/>
    <col min="5427" max="5427" width="36.5703125" style="129" customWidth="1"/>
    <col min="5428" max="5428" width="37" style="129" customWidth="1"/>
    <col min="5429" max="5447" width="36.85546875" style="129" customWidth="1"/>
    <col min="5448" max="5448" width="37" style="129" customWidth="1"/>
    <col min="5449" max="5466" width="36.85546875" style="129" customWidth="1"/>
    <col min="5467" max="5467" width="36.5703125" style="129" customWidth="1"/>
    <col min="5468" max="5480" width="36.85546875" style="129" customWidth="1"/>
    <col min="5481" max="5481" width="36.5703125" style="129" customWidth="1"/>
    <col min="5482" max="5484" width="36.85546875" style="129" customWidth="1"/>
    <col min="5485" max="5485" width="36.5703125" style="129" customWidth="1"/>
    <col min="5486" max="5493" width="36.85546875" style="129" customWidth="1"/>
    <col min="5494" max="5494" width="36.5703125" style="129" customWidth="1"/>
    <col min="5495" max="5632" width="36.85546875" style="129"/>
    <col min="5633" max="5633" width="18.5703125" style="129" customWidth="1"/>
    <col min="5634" max="5642" width="31.42578125" style="129" customWidth="1"/>
    <col min="5643" max="5659" width="36.85546875" style="129" customWidth="1"/>
    <col min="5660" max="5660" width="37" style="129" customWidth="1"/>
    <col min="5661" max="5676" width="36.85546875" style="129" customWidth="1"/>
    <col min="5677" max="5677" width="37.140625" style="129" customWidth="1"/>
    <col min="5678" max="5679" width="36.85546875" style="129" customWidth="1"/>
    <col min="5680" max="5680" width="36.5703125" style="129" customWidth="1"/>
    <col min="5681" max="5682" width="36.85546875" style="129" customWidth="1"/>
    <col min="5683" max="5683" width="36.5703125" style="129" customWidth="1"/>
    <col min="5684" max="5684" width="37" style="129" customWidth="1"/>
    <col min="5685" max="5703" width="36.85546875" style="129" customWidth="1"/>
    <col min="5704" max="5704" width="37" style="129" customWidth="1"/>
    <col min="5705" max="5722" width="36.85546875" style="129" customWidth="1"/>
    <col min="5723" max="5723" width="36.5703125" style="129" customWidth="1"/>
    <col min="5724" max="5736" width="36.85546875" style="129" customWidth="1"/>
    <col min="5737" max="5737" width="36.5703125" style="129" customWidth="1"/>
    <col min="5738" max="5740" width="36.85546875" style="129" customWidth="1"/>
    <col min="5741" max="5741" width="36.5703125" style="129" customWidth="1"/>
    <col min="5742" max="5749" width="36.85546875" style="129" customWidth="1"/>
    <col min="5750" max="5750" width="36.5703125" style="129" customWidth="1"/>
    <col min="5751" max="5888" width="36.85546875" style="129"/>
    <col min="5889" max="5889" width="18.5703125" style="129" customWidth="1"/>
    <col min="5890" max="5898" width="31.42578125" style="129" customWidth="1"/>
    <col min="5899" max="5915" width="36.85546875" style="129" customWidth="1"/>
    <col min="5916" max="5916" width="37" style="129" customWidth="1"/>
    <col min="5917" max="5932" width="36.85546875" style="129" customWidth="1"/>
    <col min="5933" max="5933" width="37.140625" style="129" customWidth="1"/>
    <col min="5934" max="5935" width="36.85546875" style="129" customWidth="1"/>
    <col min="5936" max="5936" width="36.5703125" style="129" customWidth="1"/>
    <col min="5937" max="5938" width="36.85546875" style="129" customWidth="1"/>
    <col min="5939" max="5939" width="36.5703125" style="129" customWidth="1"/>
    <col min="5940" max="5940" width="37" style="129" customWidth="1"/>
    <col min="5941" max="5959" width="36.85546875" style="129" customWidth="1"/>
    <col min="5960" max="5960" width="37" style="129" customWidth="1"/>
    <col min="5961" max="5978" width="36.85546875" style="129" customWidth="1"/>
    <col min="5979" max="5979" width="36.5703125" style="129" customWidth="1"/>
    <col min="5980" max="5992" width="36.85546875" style="129" customWidth="1"/>
    <col min="5993" max="5993" width="36.5703125" style="129" customWidth="1"/>
    <col min="5994" max="5996" width="36.85546875" style="129" customWidth="1"/>
    <col min="5997" max="5997" width="36.5703125" style="129" customWidth="1"/>
    <col min="5998" max="6005" width="36.85546875" style="129" customWidth="1"/>
    <col min="6006" max="6006" width="36.5703125" style="129" customWidth="1"/>
    <col min="6007" max="6144" width="36.85546875" style="129"/>
    <col min="6145" max="6145" width="18.5703125" style="129" customWidth="1"/>
    <col min="6146" max="6154" width="31.42578125" style="129" customWidth="1"/>
    <col min="6155" max="6171" width="36.85546875" style="129" customWidth="1"/>
    <col min="6172" max="6172" width="37" style="129" customWidth="1"/>
    <col min="6173" max="6188" width="36.85546875" style="129" customWidth="1"/>
    <col min="6189" max="6189" width="37.140625" style="129" customWidth="1"/>
    <col min="6190" max="6191" width="36.85546875" style="129" customWidth="1"/>
    <col min="6192" max="6192" width="36.5703125" style="129" customWidth="1"/>
    <col min="6193" max="6194" width="36.85546875" style="129" customWidth="1"/>
    <col min="6195" max="6195" width="36.5703125" style="129" customWidth="1"/>
    <col min="6196" max="6196" width="37" style="129" customWidth="1"/>
    <col min="6197" max="6215" width="36.85546875" style="129" customWidth="1"/>
    <col min="6216" max="6216" width="37" style="129" customWidth="1"/>
    <col min="6217" max="6234" width="36.85546875" style="129" customWidth="1"/>
    <col min="6235" max="6235" width="36.5703125" style="129" customWidth="1"/>
    <col min="6236" max="6248" width="36.85546875" style="129" customWidth="1"/>
    <col min="6249" max="6249" width="36.5703125" style="129" customWidth="1"/>
    <col min="6250" max="6252" width="36.85546875" style="129" customWidth="1"/>
    <col min="6253" max="6253" width="36.5703125" style="129" customWidth="1"/>
    <col min="6254" max="6261" width="36.85546875" style="129" customWidth="1"/>
    <col min="6262" max="6262" width="36.5703125" style="129" customWidth="1"/>
    <col min="6263" max="6400" width="36.85546875" style="129"/>
    <col min="6401" max="6401" width="18.5703125" style="129" customWidth="1"/>
    <col min="6402" max="6410" width="31.42578125" style="129" customWidth="1"/>
    <col min="6411" max="6427" width="36.85546875" style="129" customWidth="1"/>
    <col min="6428" max="6428" width="37" style="129" customWidth="1"/>
    <col min="6429" max="6444" width="36.85546875" style="129" customWidth="1"/>
    <col min="6445" max="6445" width="37.140625" style="129" customWidth="1"/>
    <col min="6446" max="6447" width="36.85546875" style="129" customWidth="1"/>
    <col min="6448" max="6448" width="36.5703125" style="129" customWidth="1"/>
    <col min="6449" max="6450" width="36.85546875" style="129" customWidth="1"/>
    <col min="6451" max="6451" width="36.5703125" style="129" customWidth="1"/>
    <col min="6452" max="6452" width="37" style="129" customWidth="1"/>
    <col min="6453" max="6471" width="36.85546875" style="129" customWidth="1"/>
    <col min="6472" max="6472" width="37" style="129" customWidth="1"/>
    <col min="6473" max="6490" width="36.85546875" style="129" customWidth="1"/>
    <col min="6491" max="6491" width="36.5703125" style="129" customWidth="1"/>
    <col min="6492" max="6504" width="36.85546875" style="129" customWidth="1"/>
    <col min="6505" max="6505" width="36.5703125" style="129" customWidth="1"/>
    <col min="6506" max="6508" width="36.85546875" style="129" customWidth="1"/>
    <col min="6509" max="6509" width="36.5703125" style="129" customWidth="1"/>
    <col min="6510" max="6517" width="36.85546875" style="129" customWidth="1"/>
    <col min="6518" max="6518" width="36.5703125" style="129" customWidth="1"/>
    <col min="6519" max="6656" width="36.85546875" style="129"/>
    <col min="6657" max="6657" width="18.5703125" style="129" customWidth="1"/>
    <col min="6658" max="6666" width="31.42578125" style="129" customWidth="1"/>
    <col min="6667" max="6683" width="36.85546875" style="129" customWidth="1"/>
    <col min="6684" max="6684" width="37" style="129" customWidth="1"/>
    <col min="6685" max="6700" width="36.85546875" style="129" customWidth="1"/>
    <col min="6701" max="6701" width="37.140625" style="129" customWidth="1"/>
    <col min="6702" max="6703" width="36.85546875" style="129" customWidth="1"/>
    <col min="6704" max="6704" width="36.5703125" style="129" customWidth="1"/>
    <col min="6705" max="6706" width="36.85546875" style="129" customWidth="1"/>
    <col min="6707" max="6707" width="36.5703125" style="129" customWidth="1"/>
    <col min="6708" max="6708" width="37" style="129" customWidth="1"/>
    <col min="6709" max="6727" width="36.85546875" style="129" customWidth="1"/>
    <col min="6728" max="6728" width="37" style="129" customWidth="1"/>
    <col min="6729" max="6746" width="36.85546875" style="129" customWidth="1"/>
    <col min="6747" max="6747" width="36.5703125" style="129" customWidth="1"/>
    <col min="6748" max="6760" width="36.85546875" style="129" customWidth="1"/>
    <col min="6761" max="6761" width="36.5703125" style="129" customWidth="1"/>
    <col min="6762" max="6764" width="36.85546875" style="129" customWidth="1"/>
    <col min="6765" max="6765" width="36.5703125" style="129" customWidth="1"/>
    <col min="6766" max="6773" width="36.85546875" style="129" customWidth="1"/>
    <col min="6774" max="6774" width="36.5703125" style="129" customWidth="1"/>
    <col min="6775" max="6912" width="36.85546875" style="129"/>
    <col min="6913" max="6913" width="18.5703125" style="129" customWidth="1"/>
    <col min="6914" max="6922" width="31.42578125" style="129" customWidth="1"/>
    <col min="6923" max="6939" width="36.85546875" style="129" customWidth="1"/>
    <col min="6940" max="6940" width="37" style="129" customWidth="1"/>
    <col min="6941" max="6956" width="36.85546875" style="129" customWidth="1"/>
    <col min="6957" max="6957" width="37.140625" style="129" customWidth="1"/>
    <col min="6958" max="6959" width="36.85546875" style="129" customWidth="1"/>
    <col min="6960" max="6960" width="36.5703125" style="129" customWidth="1"/>
    <col min="6961" max="6962" width="36.85546875" style="129" customWidth="1"/>
    <col min="6963" max="6963" width="36.5703125" style="129" customWidth="1"/>
    <col min="6964" max="6964" width="37" style="129" customWidth="1"/>
    <col min="6965" max="6983" width="36.85546875" style="129" customWidth="1"/>
    <col min="6984" max="6984" width="37" style="129" customWidth="1"/>
    <col min="6985" max="7002" width="36.85546875" style="129" customWidth="1"/>
    <col min="7003" max="7003" width="36.5703125" style="129" customWidth="1"/>
    <col min="7004" max="7016" width="36.85546875" style="129" customWidth="1"/>
    <col min="7017" max="7017" width="36.5703125" style="129" customWidth="1"/>
    <col min="7018" max="7020" width="36.85546875" style="129" customWidth="1"/>
    <col min="7021" max="7021" width="36.5703125" style="129" customWidth="1"/>
    <col min="7022" max="7029" width="36.85546875" style="129" customWidth="1"/>
    <col min="7030" max="7030" width="36.5703125" style="129" customWidth="1"/>
    <col min="7031" max="7168" width="36.85546875" style="129"/>
    <col min="7169" max="7169" width="18.5703125" style="129" customWidth="1"/>
    <col min="7170" max="7178" width="31.42578125" style="129" customWidth="1"/>
    <col min="7179" max="7195" width="36.85546875" style="129" customWidth="1"/>
    <col min="7196" max="7196" width="37" style="129" customWidth="1"/>
    <col min="7197" max="7212" width="36.85546875" style="129" customWidth="1"/>
    <col min="7213" max="7213" width="37.140625" style="129" customWidth="1"/>
    <col min="7214" max="7215" width="36.85546875" style="129" customWidth="1"/>
    <col min="7216" max="7216" width="36.5703125" style="129" customWidth="1"/>
    <col min="7217" max="7218" width="36.85546875" style="129" customWidth="1"/>
    <col min="7219" max="7219" width="36.5703125" style="129" customWidth="1"/>
    <col min="7220" max="7220" width="37" style="129" customWidth="1"/>
    <col min="7221" max="7239" width="36.85546875" style="129" customWidth="1"/>
    <col min="7240" max="7240" width="37" style="129" customWidth="1"/>
    <col min="7241" max="7258" width="36.85546875" style="129" customWidth="1"/>
    <col min="7259" max="7259" width="36.5703125" style="129" customWidth="1"/>
    <col min="7260" max="7272" width="36.85546875" style="129" customWidth="1"/>
    <col min="7273" max="7273" width="36.5703125" style="129" customWidth="1"/>
    <col min="7274" max="7276" width="36.85546875" style="129" customWidth="1"/>
    <col min="7277" max="7277" width="36.5703125" style="129" customWidth="1"/>
    <col min="7278" max="7285" width="36.85546875" style="129" customWidth="1"/>
    <col min="7286" max="7286" width="36.5703125" style="129" customWidth="1"/>
    <col min="7287" max="7424" width="36.85546875" style="129"/>
    <col min="7425" max="7425" width="18.5703125" style="129" customWidth="1"/>
    <col min="7426" max="7434" width="31.42578125" style="129" customWidth="1"/>
    <col min="7435" max="7451" width="36.85546875" style="129" customWidth="1"/>
    <col min="7452" max="7452" width="37" style="129" customWidth="1"/>
    <col min="7453" max="7468" width="36.85546875" style="129" customWidth="1"/>
    <col min="7469" max="7469" width="37.140625" style="129" customWidth="1"/>
    <col min="7470" max="7471" width="36.85546875" style="129" customWidth="1"/>
    <col min="7472" max="7472" width="36.5703125" style="129" customWidth="1"/>
    <col min="7473" max="7474" width="36.85546875" style="129" customWidth="1"/>
    <col min="7475" max="7475" width="36.5703125" style="129" customWidth="1"/>
    <col min="7476" max="7476" width="37" style="129" customWidth="1"/>
    <col min="7477" max="7495" width="36.85546875" style="129" customWidth="1"/>
    <col min="7496" max="7496" width="37" style="129" customWidth="1"/>
    <col min="7497" max="7514" width="36.85546875" style="129" customWidth="1"/>
    <col min="7515" max="7515" width="36.5703125" style="129" customWidth="1"/>
    <col min="7516" max="7528" width="36.85546875" style="129" customWidth="1"/>
    <col min="7529" max="7529" width="36.5703125" style="129" customWidth="1"/>
    <col min="7530" max="7532" width="36.85546875" style="129" customWidth="1"/>
    <col min="7533" max="7533" width="36.5703125" style="129" customWidth="1"/>
    <col min="7534" max="7541" width="36.85546875" style="129" customWidth="1"/>
    <col min="7542" max="7542" width="36.5703125" style="129" customWidth="1"/>
    <col min="7543" max="7680" width="36.85546875" style="129"/>
    <col min="7681" max="7681" width="18.5703125" style="129" customWidth="1"/>
    <col min="7682" max="7690" width="31.42578125" style="129" customWidth="1"/>
    <col min="7691" max="7707" width="36.85546875" style="129" customWidth="1"/>
    <col min="7708" max="7708" width="37" style="129" customWidth="1"/>
    <col min="7709" max="7724" width="36.85546875" style="129" customWidth="1"/>
    <col min="7725" max="7725" width="37.140625" style="129" customWidth="1"/>
    <col min="7726" max="7727" width="36.85546875" style="129" customWidth="1"/>
    <col min="7728" max="7728" width="36.5703125" style="129" customWidth="1"/>
    <col min="7729" max="7730" width="36.85546875" style="129" customWidth="1"/>
    <col min="7731" max="7731" width="36.5703125" style="129" customWidth="1"/>
    <col min="7732" max="7732" width="37" style="129" customWidth="1"/>
    <col min="7733" max="7751" width="36.85546875" style="129" customWidth="1"/>
    <col min="7752" max="7752" width="37" style="129" customWidth="1"/>
    <col min="7753" max="7770" width="36.85546875" style="129" customWidth="1"/>
    <col min="7771" max="7771" width="36.5703125" style="129" customWidth="1"/>
    <col min="7772" max="7784" width="36.85546875" style="129" customWidth="1"/>
    <col min="7785" max="7785" width="36.5703125" style="129" customWidth="1"/>
    <col min="7786" max="7788" width="36.85546875" style="129" customWidth="1"/>
    <col min="7789" max="7789" width="36.5703125" style="129" customWidth="1"/>
    <col min="7790" max="7797" width="36.85546875" style="129" customWidth="1"/>
    <col min="7798" max="7798" width="36.5703125" style="129" customWidth="1"/>
    <col min="7799" max="7936" width="36.85546875" style="129"/>
    <col min="7937" max="7937" width="18.5703125" style="129" customWidth="1"/>
    <col min="7938" max="7946" width="31.42578125" style="129" customWidth="1"/>
    <col min="7947" max="7963" width="36.85546875" style="129" customWidth="1"/>
    <col min="7964" max="7964" width="37" style="129" customWidth="1"/>
    <col min="7965" max="7980" width="36.85546875" style="129" customWidth="1"/>
    <col min="7981" max="7981" width="37.140625" style="129" customWidth="1"/>
    <col min="7982" max="7983" width="36.85546875" style="129" customWidth="1"/>
    <col min="7984" max="7984" width="36.5703125" style="129" customWidth="1"/>
    <col min="7985" max="7986" width="36.85546875" style="129" customWidth="1"/>
    <col min="7987" max="7987" width="36.5703125" style="129" customWidth="1"/>
    <col min="7988" max="7988" width="37" style="129" customWidth="1"/>
    <col min="7989" max="8007" width="36.85546875" style="129" customWidth="1"/>
    <col min="8008" max="8008" width="37" style="129" customWidth="1"/>
    <col min="8009" max="8026" width="36.85546875" style="129" customWidth="1"/>
    <col min="8027" max="8027" width="36.5703125" style="129" customWidth="1"/>
    <col min="8028" max="8040" width="36.85546875" style="129" customWidth="1"/>
    <col min="8041" max="8041" width="36.5703125" style="129" customWidth="1"/>
    <col min="8042" max="8044" width="36.85546875" style="129" customWidth="1"/>
    <col min="8045" max="8045" width="36.5703125" style="129" customWidth="1"/>
    <col min="8046" max="8053" width="36.85546875" style="129" customWidth="1"/>
    <col min="8054" max="8054" width="36.5703125" style="129" customWidth="1"/>
    <col min="8055" max="8192" width="36.85546875" style="129"/>
    <col min="8193" max="8193" width="18.5703125" style="129" customWidth="1"/>
    <col min="8194" max="8202" width="31.42578125" style="129" customWidth="1"/>
    <col min="8203" max="8219" width="36.85546875" style="129" customWidth="1"/>
    <col min="8220" max="8220" width="37" style="129" customWidth="1"/>
    <col min="8221" max="8236" width="36.85546875" style="129" customWidth="1"/>
    <col min="8237" max="8237" width="37.140625" style="129" customWidth="1"/>
    <col min="8238" max="8239" width="36.85546875" style="129" customWidth="1"/>
    <col min="8240" max="8240" width="36.5703125" style="129" customWidth="1"/>
    <col min="8241" max="8242" width="36.85546875" style="129" customWidth="1"/>
    <col min="8243" max="8243" width="36.5703125" style="129" customWidth="1"/>
    <col min="8244" max="8244" width="37" style="129" customWidth="1"/>
    <col min="8245" max="8263" width="36.85546875" style="129" customWidth="1"/>
    <col min="8264" max="8264" width="37" style="129" customWidth="1"/>
    <col min="8265" max="8282" width="36.85546875" style="129" customWidth="1"/>
    <col min="8283" max="8283" width="36.5703125" style="129" customWidth="1"/>
    <col min="8284" max="8296" width="36.85546875" style="129" customWidth="1"/>
    <col min="8297" max="8297" width="36.5703125" style="129" customWidth="1"/>
    <col min="8298" max="8300" width="36.85546875" style="129" customWidth="1"/>
    <col min="8301" max="8301" width="36.5703125" style="129" customWidth="1"/>
    <col min="8302" max="8309" width="36.85546875" style="129" customWidth="1"/>
    <col min="8310" max="8310" width="36.5703125" style="129" customWidth="1"/>
    <col min="8311" max="8448" width="36.85546875" style="129"/>
    <col min="8449" max="8449" width="18.5703125" style="129" customWidth="1"/>
    <col min="8450" max="8458" width="31.42578125" style="129" customWidth="1"/>
    <col min="8459" max="8475" width="36.85546875" style="129" customWidth="1"/>
    <col min="8476" max="8476" width="37" style="129" customWidth="1"/>
    <col min="8477" max="8492" width="36.85546875" style="129" customWidth="1"/>
    <col min="8493" max="8493" width="37.140625" style="129" customWidth="1"/>
    <col min="8494" max="8495" width="36.85546875" style="129" customWidth="1"/>
    <col min="8496" max="8496" width="36.5703125" style="129" customWidth="1"/>
    <col min="8497" max="8498" width="36.85546875" style="129" customWidth="1"/>
    <col min="8499" max="8499" width="36.5703125" style="129" customWidth="1"/>
    <col min="8500" max="8500" width="37" style="129" customWidth="1"/>
    <col min="8501" max="8519" width="36.85546875" style="129" customWidth="1"/>
    <col min="8520" max="8520" width="37" style="129" customWidth="1"/>
    <col min="8521" max="8538" width="36.85546875" style="129" customWidth="1"/>
    <col min="8539" max="8539" width="36.5703125" style="129" customWidth="1"/>
    <col min="8540" max="8552" width="36.85546875" style="129" customWidth="1"/>
    <col min="8553" max="8553" width="36.5703125" style="129" customWidth="1"/>
    <col min="8554" max="8556" width="36.85546875" style="129" customWidth="1"/>
    <col min="8557" max="8557" width="36.5703125" style="129" customWidth="1"/>
    <col min="8558" max="8565" width="36.85546875" style="129" customWidth="1"/>
    <col min="8566" max="8566" width="36.5703125" style="129" customWidth="1"/>
    <col min="8567" max="8704" width="36.85546875" style="129"/>
    <col min="8705" max="8705" width="18.5703125" style="129" customWidth="1"/>
    <col min="8706" max="8714" width="31.42578125" style="129" customWidth="1"/>
    <col min="8715" max="8731" width="36.85546875" style="129" customWidth="1"/>
    <col min="8732" max="8732" width="37" style="129" customWidth="1"/>
    <col min="8733" max="8748" width="36.85546875" style="129" customWidth="1"/>
    <col min="8749" max="8749" width="37.140625" style="129" customWidth="1"/>
    <col min="8750" max="8751" width="36.85546875" style="129" customWidth="1"/>
    <col min="8752" max="8752" width="36.5703125" style="129" customWidth="1"/>
    <col min="8753" max="8754" width="36.85546875" style="129" customWidth="1"/>
    <col min="8755" max="8755" width="36.5703125" style="129" customWidth="1"/>
    <col min="8756" max="8756" width="37" style="129" customWidth="1"/>
    <col min="8757" max="8775" width="36.85546875" style="129" customWidth="1"/>
    <col min="8776" max="8776" width="37" style="129" customWidth="1"/>
    <col min="8777" max="8794" width="36.85546875" style="129" customWidth="1"/>
    <col min="8795" max="8795" width="36.5703125" style="129" customWidth="1"/>
    <col min="8796" max="8808" width="36.85546875" style="129" customWidth="1"/>
    <col min="8809" max="8809" width="36.5703125" style="129" customWidth="1"/>
    <col min="8810" max="8812" width="36.85546875" style="129" customWidth="1"/>
    <col min="8813" max="8813" width="36.5703125" style="129" customWidth="1"/>
    <col min="8814" max="8821" width="36.85546875" style="129" customWidth="1"/>
    <col min="8822" max="8822" width="36.5703125" style="129" customWidth="1"/>
    <col min="8823" max="8960" width="36.85546875" style="129"/>
    <col min="8961" max="8961" width="18.5703125" style="129" customWidth="1"/>
    <col min="8962" max="8970" width="31.42578125" style="129" customWidth="1"/>
    <col min="8971" max="8987" width="36.85546875" style="129" customWidth="1"/>
    <col min="8988" max="8988" width="37" style="129" customWidth="1"/>
    <col min="8989" max="9004" width="36.85546875" style="129" customWidth="1"/>
    <col min="9005" max="9005" width="37.140625" style="129" customWidth="1"/>
    <col min="9006" max="9007" width="36.85546875" style="129" customWidth="1"/>
    <col min="9008" max="9008" width="36.5703125" style="129" customWidth="1"/>
    <col min="9009" max="9010" width="36.85546875" style="129" customWidth="1"/>
    <col min="9011" max="9011" width="36.5703125" style="129" customWidth="1"/>
    <col min="9012" max="9012" width="37" style="129" customWidth="1"/>
    <col min="9013" max="9031" width="36.85546875" style="129" customWidth="1"/>
    <col min="9032" max="9032" width="37" style="129" customWidth="1"/>
    <col min="9033" max="9050" width="36.85546875" style="129" customWidth="1"/>
    <col min="9051" max="9051" width="36.5703125" style="129" customWidth="1"/>
    <col min="9052" max="9064" width="36.85546875" style="129" customWidth="1"/>
    <col min="9065" max="9065" width="36.5703125" style="129" customWidth="1"/>
    <col min="9066" max="9068" width="36.85546875" style="129" customWidth="1"/>
    <col min="9069" max="9069" width="36.5703125" style="129" customWidth="1"/>
    <col min="9070" max="9077" width="36.85546875" style="129" customWidth="1"/>
    <col min="9078" max="9078" width="36.5703125" style="129" customWidth="1"/>
    <col min="9079" max="9216" width="36.85546875" style="129"/>
    <col min="9217" max="9217" width="18.5703125" style="129" customWidth="1"/>
    <col min="9218" max="9226" width="31.42578125" style="129" customWidth="1"/>
    <col min="9227" max="9243" width="36.85546875" style="129" customWidth="1"/>
    <col min="9244" max="9244" width="37" style="129" customWidth="1"/>
    <col min="9245" max="9260" width="36.85546875" style="129" customWidth="1"/>
    <col min="9261" max="9261" width="37.140625" style="129" customWidth="1"/>
    <col min="9262" max="9263" width="36.85546875" style="129" customWidth="1"/>
    <col min="9264" max="9264" width="36.5703125" style="129" customWidth="1"/>
    <col min="9265" max="9266" width="36.85546875" style="129" customWidth="1"/>
    <col min="9267" max="9267" width="36.5703125" style="129" customWidth="1"/>
    <col min="9268" max="9268" width="37" style="129" customWidth="1"/>
    <col min="9269" max="9287" width="36.85546875" style="129" customWidth="1"/>
    <col min="9288" max="9288" width="37" style="129" customWidth="1"/>
    <col min="9289" max="9306" width="36.85546875" style="129" customWidth="1"/>
    <col min="9307" max="9307" width="36.5703125" style="129" customWidth="1"/>
    <col min="9308" max="9320" width="36.85546875" style="129" customWidth="1"/>
    <col min="9321" max="9321" width="36.5703125" style="129" customWidth="1"/>
    <col min="9322" max="9324" width="36.85546875" style="129" customWidth="1"/>
    <col min="9325" max="9325" width="36.5703125" style="129" customWidth="1"/>
    <col min="9326" max="9333" width="36.85546875" style="129" customWidth="1"/>
    <col min="9334" max="9334" width="36.5703125" style="129" customWidth="1"/>
    <col min="9335" max="9472" width="36.85546875" style="129"/>
    <col min="9473" max="9473" width="18.5703125" style="129" customWidth="1"/>
    <col min="9474" max="9482" width="31.42578125" style="129" customWidth="1"/>
    <col min="9483" max="9499" width="36.85546875" style="129" customWidth="1"/>
    <col min="9500" max="9500" width="37" style="129" customWidth="1"/>
    <col min="9501" max="9516" width="36.85546875" style="129" customWidth="1"/>
    <col min="9517" max="9517" width="37.140625" style="129" customWidth="1"/>
    <col min="9518" max="9519" width="36.85546875" style="129" customWidth="1"/>
    <col min="9520" max="9520" width="36.5703125" style="129" customWidth="1"/>
    <col min="9521" max="9522" width="36.85546875" style="129" customWidth="1"/>
    <col min="9523" max="9523" width="36.5703125" style="129" customWidth="1"/>
    <col min="9524" max="9524" width="37" style="129" customWidth="1"/>
    <col min="9525" max="9543" width="36.85546875" style="129" customWidth="1"/>
    <col min="9544" max="9544" width="37" style="129" customWidth="1"/>
    <col min="9545" max="9562" width="36.85546875" style="129" customWidth="1"/>
    <col min="9563" max="9563" width="36.5703125" style="129" customWidth="1"/>
    <col min="9564" max="9576" width="36.85546875" style="129" customWidth="1"/>
    <col min="9577" max="9577" width="36.5703125" style="129" customWidth="1"/>
    <col min="9578" max="9580" width="36.85546875" style="129" customWidth="1"/>
    <col min="9581" max="9581" width="36.5703125" style="129" customWidth="1"/>
    <col min="9582" max="9589" width="36.85546875" style="129" customWidth="1"/>
    <col min="9590" max="9590" width="36.5703125" style="129" customWidth="1"/>
    <col min="9591" max="9728" width="36.85546875" style="129"/>
    <col min="9729" max="9729" width="18.5703125" style="129" customWidth="1"/>
    <col min="9730" max="9738" width="31.42578125" style="129" customWidth="1"/>
    <col min="9739" max="9755" width="36.85546875" style="129" customWidth="1"/>
    <col min="9756" max="9756" width="37" style="129" customWidth="1"/>
    <col min="9757" max="9772" width="36.85546875" style="129" customWidth="1"/>
    <col min="9773" max="9773" width="37.140625" style="129" customWidth="1"/>
    <col min="9774" max="9775" width="36.85546875" style="129" customWidth="1"/>
    <col min="9776" max="9776" width="36.5703125" style="129" customWidth="1"/>
    <col min="9777" max="9778" width="36.85546875" style="129" customWidth="1"/>
    <col min="9779" max="9779" width="36.5703125" style="129" customWidth="1"/>
    <col min="9780" max="9780" width="37" style="129" customWidth="1"/>
    <col min="9781" max="9799" width="36.85546875" style="129" customWidth="1"/>
    <col min="9800" max="9800" width="37" style="129" customWidth="1"/>
    <col min="9801" max="9818" width="36.85546875" style="129" customWidth="1"/>
    <col min="9819" max="9819" width="36.5703125" style="129" customWidth="1"/>
    <col min="9820" max="9832" width="36.85546875" style="129" customWidth="1"/>
    <col min="9833" max="9833" width="36.5703125" style="129" customWidth="1"/>
    <col min="9834" max="9836" width="36.85546875" style="129" customWidth="1"/>
    <col min="9837" max="9837" width="36.5703125" style="129" customWidth="1"/>
    <col min="9838" max="9845" width="36.85546875" style="129" customWidth="1"/>
    <col min="9846" max="9846" width="36.5703125" style="129" customWidth="1"/>
    <col min="9847" max="9984" width="36.85546875" style="129"/>
    <col min="9985" max="9985" width="18.5703125" style="129" customWidth="1"/>
    <col min="9986" max="9994" width="31.42578125" style="129" customWidth="1"/>
    <col min="9995" max="10011" width="36.85546875" style="129" customWidth="1"/>
    <col min="10012" max="10012" width="37" style="129" customWidth="1"/>
    <col min="10013" max="10028" width="36.85546875" style="129" customWidth="1"/>
    <col min="10029" max="10029" width="37.140625" style="129" customWidth="1"/>
    <col min="10030" max="10031" width="36.85546875" style="129" customWidth="1"/>
    <col min="10032" max="10032" width="36.5703125" style="129" customWidth="1"/>
    <col min="10033" max="10034" width="36.85546875" style="129" customWidth="1"/>
    <col min="10035" max="10035" width="36.5703125" style="129" customWidth="1"/>
    <col min="10036" max="10036" width="37" style="129" customWidth="1"/>
    <col min="10037" max="10055" width="36.85546875" style="129" customWidth="1"/>
    <col min="10056" max="10056" width="37" style="129" customWidth="1"/>
    <col min="10057" max="10074" width="36.85546875" style="129" customWidth="1"/>
    <col min="10075" max="10075" width="36.5703125" style="129" customWidth="1"/>
    <col min="10076" max="10088" width="36.85546875" style="129" customWidth="1"/>
    <col min="10089" max="10089" width="36.5703125" style="129" customWidth="1"/>
    <col min="10090" max="10092" width="36.85546875" style="129" customWidth="1"/>
    <col min="10093" max="10093" width="36.5703125" style="129" customWidth="1"/>
    <col min="10094" max="10101" width="36.85546875" style="129" customWidth="1"/>
    <col min="10102" max="10102" width="36.5703125" style="129" customWidth="1"/>
    <col min="10103" max="10240" width="36.85546875" style="129"/>
    <col min="10241" max="10241" width="18.5703125" style="129" customWidth="1"/>
    <col min="10242" max="10250" width="31.42578125" style="129" customWidth="1"/>
    <col min="10251" max="10267" width="36.85546875" style="129" customWidth="1"/>
    <col min="10268" max="10268" width="37" style="129" customWidth="1"/>
    <col min="10269" max="10284" width="36.85546875" style="129" customWidth="1"/>
    <col min="10285" max="10285" width="37.140625" style="129" customWidth="1"/>
    <col min="10286" max="10287" width="36.85546875" style="129" customWidth="1"/>
    <col min="10288" max="10288" width="36.5703125" style="129" customWidth="1"/>
    <col min="10289" max="10290" width="36.85546875" style="129" customWidth="1"/>
    <col min="10291" max="10291" width="36.5703125" style="129" customWidth="1"/>
    <col min="10292" max="10292" width="37" style="129" customWidth="1"/>
    <col min="10293" max="10311" width="36.85546875" style="129" customWidth="1"/>
    <col min="10312" max="10312" width="37" style="129" customWidth="1"/>
    <col min="10313" max="10330" width="36.85546875" style="129" customWidth="1"/>
    <col min="10331" max="10331" width="36.5703125" style="129" customWidth="1"/>
    <col min="10332" max="10344" width="36.85546875" style="129" customWidth="1"/>
    <col min="10345" max="10345" width="36.5703125" style="129" customWidth="1"/>
    <col min="10346" max="10348" width="36.85546875" style="129" customWidth="1"/>
    <col min="10349" max="10349" width="36.5703125" style="129" customWidth="1"/>
    <col min="10350" max="10357" width="36.85546875" style="129" customWidth="1"/>
    <col min="10358" max="10358" width="36.5703125" style="129" customWidth="1"/>
    <col min="10359" max="10496" width="36.85546875" style="129"/>
    <col min="10497" max="10497" width="18.5703125" style="129" customWidth="1"/>
    <col min="10498" max="10506" width="31.42578125" style="129" customWidth="1"/>
    <col min="10507" max="10523" width="36.85546875" style="129" customWidth="1"/>
    <col min="10524" max="10524" width="37" style="129" customWidth="1"/>
    <col min="10525" max="10540" width="36.85546875" style="129" customWidth="1"/>
    <col min="10541" max="10541" width="37.140625" style="129" customWidth="1"/>
    <col min="10542" max="10543" width="36.85546875" style="129" customWidth="1"/>
    <col min="10544" max="10544" width="36.5703125" style="129" customWidth="1"/>
    <col min="10545" max="10546" width="36.85546875" style="129" customWidth="1"/>
    <col min="10547" max="10547" width="36.5703125" style="129" customWidth="1"/>
    <col min="10548" max="10548" width="37" style="129" customWidth="1"/>
    <col min="10549" max="10567" width="36.85546875" style="129" customWidth="1"/>
    <col min="10568" max="10568" width="37" style="129" customWidth="1"/>
    <col min="10569" max="10586" width="36.85546875" style="129" customWidth="1"/>
    <col min="10587" max="10587" width="36.5703125" style="129" customWidth="1"/>
    <col min="10588" max="10600" width="36.85546875" style="129" customWidth="1"/>
    <col min="10601" max="10601" width="36.5703125" style="129" customWidth="1"/>
    <col min="10602" max="10604" width="36.85546875" style="129" customWidth="1"/>
    <col min="10605" max="10605" width="36.5703125" style="129" customWidth="1"/>
    <col min="10606" max="10613" width="36.85546875" style="129" customWidth="1"/>
    <col min="10614" max="10614" width="36.5703125" style="129" customWidth="1"/>
    <col min="10615" max="10752" width="36.85546875" style="129"/>
    <col min="10753" max="10753" width="18.5703125" style="129" customWidth="1"/>
    <col min="10754" max="10762" width="31.42578125" style="129" customWidth="1"/>
    <col min="10763" max="10779" width="36.85546875" style="129" customWidth="1"/>
    <col min="10780" max="10780" width="37" style="129" customWidth="1"/>
    <col min="10781" max="10796" width="36.85546875" style="129" customWidth="1"/>
    <col min="10797" max="10797" width="37.140625" style="129" customWidth="1"/>
    <col min="10798" max="10799" width="36.85546875" style="129" customWidth="1"/>
    <col min="10800" max="10800" width="36.5703125" style="129" customWidth="1"/>
    <col min="10801" max="10802" width="36.85546875" style="129" customWidth="1"/>
    <col min="10803" max="10803" width="36.5703125" style="129" customWidth="1"/>
    <col min="10804" max="10804" width="37" style="129" customWidth="1"/>
    <col min="10805" max="10823" width="36.85546875" style="129" customWidth="1"/>
    <col min="10824" max="10824" width="37" style="129" customWidth="1"/>
    <col min="10825" max="10842" width="36.85546875" style="129" customWidth="1"/>
    <col min="10843" max="10843" width="36.5703125" style="129" customWidth="1"/>
    <col min="10844" max="10856" width="36.85546875" style="129" customWidth="1"/>
    <col min="10857" max="10857" width="36.5703125" style="129" customWidth="1"/>
    <col min="10858" max="10860" width="36.85546875" style="129" customWidth="1"/>
    <col min="10861" max="10861" width="36.5703125" style="129" customWidth="1"/>
    <col min="10862" max="10869" width="36.85546875" style="129" customWidth="1"/>
    <col min="10870" max="10870" width="36.5703125" style="129" customWidth="1"/>
    <col min="10871" max="11008" width="36.85546875" style="129"/>
    <col min="11009" max="11009" width="18.5703125" style="129" customWidth="1"/>
    <col min="11010" max="11018" width="31.42578125" style="129" customWidth="1"/>
    <col min="11019" max="11035" width="36.85546875" style="129" customWidth="1"/>
    <col min="11036" max="11036" width="37" style="129" customWidth="1"/>
    <col min="11037" max="11052" width="36.85546875" style="129" customWidth="1"/>
    <col min="11053" max="11053" width="37.140625" style="129" customWidth="1"/>
    <col min="11054" max="11055" width="36.85546875" style="129" customWidth="1"/>
    <col min="11056" max="11056" width="36.5703125" style="129" customWidth="1"/>
    <col min="11057" max="11058" width="36.85546875" style="129" customWidth="1"/>
    <col min="11059" max="11059" width="36.5703125" style="129" customWidth="1"/>
    <col min="11060" max="11060" width="37" style="129" customWidth="1"/>
    <col min="11061" max="11079" width="36.85546875" style="129" customWidth="1"/>
    <col min="11080" max="11080" width="37" style="129" customWidth="1"/>
    <col min="11081" max="11098" width="36.85546875" style="129" customWidth="1"/>
    <col min="11099" max="11099" width="36.5703125" style="129" customWidth="1"/>
    <col min="11100" max="11112" width="36.85546875" style="129" customWidth="1"/>
    <col min="11113" max="11113" width="36.5703125" style="129" customWidth="1"/>
    <col min="11114" max="11116" width="36.85546875" style="129" customWidth="1"/>
    <col min="11117" max="11117" width="36.5703125" style="129" customWidth="1"/>
    <col min="11118" max="11125" width="36.85546875" style="129" customWidth="1"/>
    <col min="11126" max="11126" width="36.5703125" style="129" customWidth="1"/>
    <col min="11127" max="11264" width="36.85546875" style="129"/>
    <col min="11265" max="11265" width="18.5703125" style="129" customWidth="1"/>
    <col min="11266" max="11274" width="31.42578125" style="129" customWidth="1"/>
    <col min="11275" max="11291" width="36.85546875" style="129" customWidth="1"/>
    <col min="11292" max="11292" width="37" style="129" customWidth="1"/>
    <col min="11293" max="11308" width="36.85546875" style="129" customWidth="1"/>
    <col min="11309" max="11309" width="37.140625" style="129" customWidth="1"/>
    <col min="11310" max="11311" width="36.85546875" style="129" customWidth="1"/>
    <col min="11312" max="11312" width="36.5703125" style="129" customWidth="1"/>
    <col min="11313" max="11314" width="36.85546875" style="129" customWidth="1"/>
    <col min="11315" max="11315" width="36.5703125" style="129" customWidth="1"/>
    <col min="11316" max="11316" width="37" style="129" customWidth="1"/>
    <col min="11317" max="11335" width="36.85546875" style="129" customWidth="1"/>
    <col min="11336" max="11336" width="37" style="129" customWidth="1"/>
    <col min="11337" max="11354" width="36.85546875" style="129" customWidth="1"/>
    <col min="11355" max="11355" width="36.5703125" style="129" customWidth="1"/>
    <col min="11356" max="11368" width="36.85546875" style="129" customWidth="1"/>
    <col min="11369" max="11369" width="36.5703125" style="129" customWidth="1"/>
    <col min="11370" max="11372" width="36.85546875" style="129" customWidth="1"/>
    <col min="11373" max="11373" width="36.5703125" style="129" customWidth="1"/>
    <col min="11374" max="11381" width="36.85546875" style="129" customWidth="1"/>
    <col min="11382" max="11382" width="36.5703125" style="129" customWidth="1"/>
    <col min="11383" max="11520" width="36.85546875" style="129"/>
    <col min="11521" max="11521" width="18.5703125" style="129" customWidth="1"/>
    <col min="11522" max="11530" width="31.42578125" style="129" customWidth="1"/>
    <col min="11531" max="11547" width="36.85546875" style="129" customWidth="1"/>
    <col min="11548" max="11548" width="37" style="129" customWidth="1"/>
    <col min="11549" max="11564" width="36.85546875" style="129" customWidth="1"/>
    <col min="11565" max="11565" width="37.140625" style="129" customWidth="1"/>
    <col min="11566" max="11567" width="36.85546875" style="129" customWidth="1"/>
    <col min="11568" max="11568" width="36.5703125" style="129" customWidth="1"/>
    <col min="11569" max="11570" width="36.85546875" style="129" customWidth="1"/>
    <col min="11571" max="11571" width="36.5703125" style="129" customWidth="1"/>
    <col min="11572" max="11572" width="37" style="129" customWidth="1"/>
    <col min="11573" max="11591" width="36.85546875" style="129" customWidth="1"/>
    <col min="11592" max="11592" width="37" style="129" customWidth="1"/>
    <col min="11593" max="11610" width="36.85546875" style="129" customWidth="1"/>
    <col min="11611" max="11611" width="36.5703125" style="129" customWidth="1"/>
    <col min="11612" max="11624" width="36.85546875" style="129" customWidth="1"/>
    <col min="11625" max="11625" width="36.5703125" style="129" customWidth="1"/>
    <col min="11626" max="11628" width="36.85546875" style="129" customWidth="1"/>
    <col min="11629" max="11629" width="36.5703125" style="129" customWidth="1"/>
    <col min="11630" max="11637" width="36.85546875" style="129" customWidth="1"/>
    <col min="11638" max="11638" width="36.5703125" style="129" customWidth="1"/>
    <col min="11639" max="11776" width="36.85546875" style="129"/>
    <col min="11777" max="11777" width="18.5703125" style="129" customWidth="1"/>
    <col min="11778" max="11786" width="31.42578125" style="129" customWidth="1"/>
    <col min="11787" max="11803" width="36.85546875" style="129" customWidth="1"/>
    <col min="11804" max="11804" width="37" style="129" customWidth="1"/>
    <col min="11805" max="11820" width="36.85546875" style="129" customWidth="1"/>
    <col min="11821" max="11821" width="37.140625" style="129" customWidth="1"/>
    <col min="11822" max="11823" width="36.85546875" style="129" customWidth="1"/>
    <col min="11824" max="11824" width="36.5703125" style="129" customWidth="1"/>
    <col min="11825" max="11826" width="36.85546875" style="129" customWidth="1"/>
    <col min="11827" max="11827" width="36.5703125" style="129" customWidth="1"/>
    <col min="11828" max="11828" width="37" style="129" customWidth="1"/>
    <col min="11829" max="11847" width="36.85546875" style="129" customWidth="1"/>
    <col min="11848" max="11848" width="37" style="129" customWidth="1"/>
    <col min="11849" max="11866" width="36.85546875" style="129" customWidth="1"/>
    <col min="11867" max="11867" width="36.5703125" style="129" customWidth="1"/>
    <col min="11868" max="11880" width="36.85546875" style="129" customWidth="1"/>
    <col min="11881" max="11881" width="36.5703125" style="129" customWidth="1"/>
    <col min="11882" max="11884" width="36.85546875" style="129" customWidth="1"/>
    <col min="11885" max="11885" width="36.5703125" style="129" customWidth="1"/>
    <col min="11886" max="11893" width="36.85546875" style="129" customWidth="1"/>
    <col min="11894" max="11894" width="36.5703125" style="129" customWidth="1"/>
    <col min="11895" max="12032" width="36.85546875" style="129"/>
    <col min="12033" max="12033" width="18.5703125" style="129" customWidth="1"/>
    <col min="12034" max="12042" width="31.42578125" style="129" customWidth="1"/>
    <col min="12043" max="12059" width="36.85546875" style="129" customWidth="1"/>
    <col min="12060" max="12060" width="37" style="129" customWidth="1"/>
    <col min="12061" max="12076" width="36.85546875" style="129" customWidth="1"/>
    <col min="12077" max="12077" width="37.140625" style="129" customWidth="1"/>
    <col min="12078" max="12079" width="36.85546875" style="129" customWidth="1"/>
    <col min="12080" max="12080" width="36.5703125" style="129" customWidth="1"/>
    <col min="12081" max="12082" width="36.85546875" style="129" customWidth="1"/>
    <col min="12083" max="12083" width="36.5703125" style="129" customWidth="1"/>
    <col min="12084" max="12084" width="37" style="129" customWidth="1"/>
    <col min="12085" max="12103" width="36.85546875" style="129" customWidth="1"/>
    <col min="12104" max="12104" width="37" style="129" customWidth="1"/>
    <col min="12105" max="12122" width="36.85546875" style="129" customWidth="1"/>
    <col min="12123" max="12123" width="36.5703125" style="129" customWidth="1"/>
    <col min="12124" max="12136" width="36.85546875" style="129" customWidth="1"/>
    <col min="12137" max="12137" width="36.5703125" style="129" customWidth="1"/>
    <col min="12138" max="12140" width="36.85546875" style="129" customWidth="1"/>
    <col min="12141" max="12141" width="36.5703125" style="129" customWidth="1"/>
    <col min="12142" max="12149" width="36.85546875" style="129" customWidth="1"/>
    <col min="12150" max="12150" width="36.5703125" style="129" customWidth="1"/>
    <col min="12151" max="12288" width="36.85546875" style="129"/>
    <col min="12289" max="12289" width="18.5703125" style="129" customWidth="1"/>
    <col min="12290" max="12298" width="31.42578125" style="129" customWidth="1"/>
    <col min="12299" max="12315" width="36.85546875" style="129" customWidth="1"/>
    <col min="12316" max="12316" width="37" style="129" customWidth="1"/>
    <col min="12317" max="12332" width="36.85546875" style="129" customWidth="1"/>
    <col min="12333" max="12333" width="37.140625" style="129" customWidth="1"/>
    <col min="12334" max="12335" width="36.85546875" style="129" customWidth="1"/>
    <col min="12336" max="12336" width="36.5703125" style="129" customWidth="1"/>
    <col min="12337" max="12338" width="36.85546875" style="129" customWidth="1"/>
    <col min="12339" max="12339" width="36.5703125" style="129" customWidth="1"/>
    <col min="12340" max="12340" width="37" style="129" customWidth="1"/>
    <col min="12341" max="12359" width="36.85546875" style="129" customWidth="1"/>
    <col min="12360" max="12360" width="37" style="129" customWidth="1"/>
    <col min="12361" max="12378" width="36.85546875" style="129" customWidth="1"/>
    <col min="12379" max="12379" width="36.5703125" style="129" customWidth="1"/>
    <col min="12380" max="12392" width="36.85546875" style="129" customWidth="1"/>
    <col min="12393" max="12393" width="36.5703125" style="129" customWidth="1"/>
    <col min="12394" max="12396" width="36.85546875" style="129" customWidth="1"/>
    <col min="12397" max="12397" width="36.5703125" style="129" customWidth="1"/>
    <col min="12398" max="12405" width="36.85546875" style="129" customWidth="1"/>
    <col min="12406" max="12406" width="36.5703125" style="129" customWidth="1"/>
    <col min="12407" max="12544" width="36.85546875" style="129"/>
    <col min="12545" max="12545" width="18.5703125" style="129" customWidth="1"/>
    <col min="12546" max="12554" width="31.42578125" style="129" customWidth="1"/>
    <col min="12555" max="12571" width="36.85546875" style="129" customWidth="1"/>
    <col min="12572" max="12572" width="37" style="129" customWidth="1"/>
    <col min="12573" max="12588" width="36.85546875" style="129" customWidth="1"/>
    <col min="12589" max="12589" width="37.140625" style="129" customWidth="1"/>
    <col min="12590" max="12591" width="36.85546875" style="129" customWidth="1"/>
    <col min="12592" max="12592" width="36.5703125" style="129" customWidth="1"/>
    <col min="12593" max="12594" width="36.85546875" style="129" customWidth="1"/>
    <col min="12595" max="12595" width="36.5703125" style="129" customWidth="1"/>
    <col min="12596" max="12596" width="37" style="129" customWidth="1"/>
    <col min="12597" max="12615" width="36.85546875" style="129" customWidth="1"/>
    <col min="12616" max="12616" width="37" style="129" customWidth="1"/>
    <col min="12617" max="12634" width="36.85546875" style="129" customWidth="1"/>
    <col min="12635" max="12635" width="36.5703125" style="129" customWidth="1"/>
    <col min="12636" max="12648" width="36.85546875" style="129" customWidth="1"/>
    <col min="12649" max="12649" width="36.5703125" style="129" customWidth="1"/>
    <col min="12650" max="12652" width="36.85546875" style="129" customWidth="1"/>
    <col min="12653" max="12653" width="36.5703125" style="129" customWidth="1"/>
    <col min="12654" max="12661" width="36.85546875" style="129" customWidth="1"/>
    <col min="12662" max="12662" width="36.5703125" style="129" customWidth="1"/>
    <col min="12663" max="12800" width="36.85546875" style="129"/>
    <col min="12801" max="12801" width="18.5703125" style="129" customWidth="1"/>
    <col min="12802" max="12810" width="31.42578125" style="129" customWidth="1"/>
    <col min="12811" max="12827" width="36.85546875" style="129" customWidth="1"/>
    <col min="12828" max="12828" width="37" style="129" customWidth="1"/>
    <col min="12829" max="12844" width="36.85546875" style="129" customWidth="1"/>
    <col min="12845" max="12845" width="37.140625" style="129" customWidth="1"/>
    <col min="12846" max="12847" width="36.85546875" style="129" customWidth="1"/>
    <col min="12848" max="12848" width="36.5703125" style="129" customWidth="1"/>
    <col min="12849" max="12850" width="36.85546875" style="129" customWidth="1"/>
    <col min="12851" max="12851" width="36.5703125" style="129" customWidth="1"/>
    <col min="12852" max="12852" width="37" style="129" customWidth="1"/>
    <col min="12853" max="12871" width="36.85546875" style="129" customWidth="1"/>
    <col min="12872" max="12872" width="37" style="129" customWidth="1"/>
    <col min="12873" max="12890" width="36.85546875" style="129" customWidth="1"/>
    <col min="12891" max="12891" width="36.5703125" style="129" customWidth="1"/>
    <col min="12892" max="12904" width="36.85546875" style="129" customWidth="1"/>
    <col min="12905" max="12905" width="36.5703125" style="129" customWidth="1"/>
    <col min="12906" max="12908" width="36.85546875" style="129" customWidth="1"/>
    <col min="12909" max="12909" width="36.5703125" style="129" customWidth="1"/>
    <col min="12910" max="12917" width="36.85546875" style="129" customWidth="1"/>
    <col min="12918" max="12918" width="36.5703125" style="129" customWidth="1"/>
    <col min="12919" max="13056" width="36.85546875" style="129"/>
    <col min="13057" max="13057" width="18.5703125" style="129" customWidth="1"/>
    <col min="13058" max="13066" width="31.42578125" style="129" customWidth="1"/>
    <col min="13067" max="13083" width="36.85546875" style="129" customWidth="1"/>
    <col min="13084" max="13084" width="37" style="129" customWidth="1"/>
    <col min="13085" max="13100" width="36.85546875" style="129" customWidth="1"/>
    <col min="13101" max="13101" width="37.140625" style="129" customWidth="1"/>
    <col min="13102" max="13103" width="36.85546875" style="129" customWidth="1"/>
    <col min="13104" max="13104" width="36.5703125" style="129" customWidth="1"/>
    <col min="13105" max="13106" width="36.85546875" style="129" customWidth="1"/>
    <col min="13107" max="13107" width="36.5703125" style="129" customWidth="1"/>
    <col min="13108" max="13108" width="37" style="129" customWidth="1"/>
    <col min="13109" max="13127" width="36.85546875" style="129" customWidth="1"/>
    <col min="13128" max="13128" width="37" style="129" customWidth="1"/>
    <col min="13129" max="13146" width="36.85546875" style="129" customWidth="1"/>
    <col min="13147" max="13147" width="36.5703125" style="129" customWidth="1"/>
    <col min="13148" max="13160" width="36.85546875" style="129" customWidth="1"/>
    <col min="13161" max="13161" width="36.5703125" style="129" customWidth="1"/>
    <col min="13162" max="13164" width="36.85546875" style="129" customWidth="1"/>
    <col min="13165" max="13165" width="36.5703125" style="129" customWidth="1"/>
    <col min="13166" max="13173" width="36.85546875" style="129" customWidth="1"/>
    <col min="13174" max="13174" width="36.5703125" style="129" customWidth="1"/>
    <col min="13175" max="13312" width="36.85546875" style="129"/>
    <col min="13313" max="13313" width="18.5703125" style="129" customWidth="1"/>
    <col min="13314" max="13322" width="31.42578125" style="129" customWidth="1"/>
    <col min="13323" max="13339" width="36.85546875" style="129" customWidth="1"/>
    <col min="13340" max="13340" width="37" style="129" customWidth="1"/>
    <col min="13341" max="13356" width="36.85546875" style="129" customWidth="1"/>
    <col min="13357" max="13357" width="37.140625" style="129" customWidth="1"/>
    <col min="13358" max="13359" width="36.85546875" style="129" customWidth="1"/>
    <col min="13360" max="13360" width="36.5703125" style="129" customWidth="1"/>
    <col min="13361" max="13362" width="36.85546875" style="129" customWidth="1"/>
    <col min="13363" max="13363" width="36.5703125" style="129" customWidth="1"/>
    <col min="13364" max="13364" width="37" style="129" customWidth="1"/>
    <col min="13365" max="13383" width="36.85546875" style="129" customWidth="1"/>
    <col min="13384" max="13384" width="37" style="129" customWidth="1"/>
    <col min="13385" max="13402" width="36.85546875" style="129" customWidth="1"/>
    <col min="13403" max="13403" width="36.5703125" style="129" customWidth="1"/>
    <col min="13404" max="13416" width="36.85546875" style="129" customWidth="1"/>
    <col min="13417" max="13417" width="36.5703125" style="129" customWidth="1"/>
    <col min="13418" max="13420" width="36.85546875" style="129" customWidth="1"/>
    <col min="13421" max="13421" width="36.5703125" style="129" customWidth="1"/>
    <col min="13422" max="13429" width="36.85546875" style="129" customWidth="1"/>
    <col min="13430" max="13430" width="36.5703125" style="129" customWidth="1"/>
    <col min="13431" max="13568" width="36.85546875" style="129"/>
    <col min="13569" max="13569" width="18.5703125" style="129" customWidth="1"/>
    <col min="13570" max="13578" width="31.42578125" style="129" customWidth="1"/>
    <col min="13579" max="13595" width="36.85546875" style="129" customWidth="1"/>
    <col min="13596" max="13596" width="37" style="129" customWidth="1"/>
    <col min="13597" max="13612" width="36.85546875" style="129" customWidth="1"/>
    <col min="13613" max="13613" width="37.140625" style="129" customWidth="1"/>
    <col min="13614" max="13615" width="36.85546875" style="129" customWidth="1"/>
    <col min="13616" max="13616" width="36.5703125" style="129" customWidth="1"/>
    <col min="13617" max="13618" width="36.85546875" style="129" customWidth="1"/>
    <col min="13619" max="13619" width="36.5703125" style="129" customWidth="1"/>
    <col min="13620" max="13620" width="37" style="129" customWidth="1"/>
    <col min="13621" max="13639" width="36.85546875" style="129" customWidth="1"/>
    <col min="13640" max="13640" width="37" style="129" customWidth="1"/>
    <col min="13641" max="13658" width="36.85546875" style="129" customWidth="1"/>
    <col min="13659" max="13659" width="36.5703125" style="129" customWidth="1"/>
    <col min="13660" max="13672" width="36.85546875" style="129" customWidth="1"/>
    <col min="13673" max="13673" width="36.5703125" style="129" customWidth="1"/>
    <col min="13674" max="13676" width="36.85546875" style="129" customWidth="1"/>
    <col min="13677" max="13677" width="36.5703125" style="129" customWidth="1"/>
    <col min="13678" max="13685" width="36.85546875" style="129" customWidth="1"/>
    <col min="13686" max="13686" width="36.5703125" style="129" customWidth="1"/>
    <col min="13687" max="13824" width="36.85546875" style="129"/>
    <col min="13825" max="13825" width="18.5703125" style="129" customWidth="1"/>
    <col min="13826" max="13834" width="31.42578125" style="129" customWidth="1"/>
    <col min="13835" max="13851" width="36.85546875" style="129" customWidth="1"/>
    <col min="13852" max="13852" width="37" style="129" customWidth="1"/>
    <col min="13853" max="13868" width="36.85546875" style="129" customWidth="1"/>
    <col min="13869" max="13869" width="37.140625" style="129" customWidth="1"/>
    <col min="13870" max="13871" width="36.85546875" style="129" customWidth="1"/>
    <col min="13872" max="13872" width="36.5703125" style="129" customWidth="1"/>
    <col min="13873" max="13874" width="36.85546875" style="129" customWidth="1"/>
    <col min="13875" max="13875" width="36.5703125" style="129" customWidth="1"/>
    <col min="13876" max="13876" width="37" style="129" customWidth="1"/>
    <col min="13877" max="13895" width="36.85546875" style="129" customWidth="1"/>
    <col min="13896" max="13896" width="37" style="129" customWidth="1"/>
    <col min="13897" max="13914" width="36.85546875" style="129" customWidth="1"/>
    <col min="13915" max="13915" width="36.5703125" style="129" customWidth="1"/>
    <col min="13916" max="13928" width="36.85546875" style="129" customWidth="1"/>
    <col min="13929" max="13929" width="36.5703125" style="129" customWidth="1"/>
    <col min="13930" max="13932" width="36.85546875" style="129" customWidth="1"/>
    <col min="13933" max="13933" width="36.5703125" style="129" customWidth="1"/>
    <col min="13934" max="13941" width="36.85546875" style="129" customWidth="1"/>
    <col min="13942" max="13942" width="36.5703125" style="129" customWidth="1"/>
    <col min="13943" max="14080" width="36.85546875" style="129"/>
    <col min="14081" max="14081" width="18.5703125" style="129" customWidth="1"/>
    <col min="14082" max="14090" width="31.42578125" style="129" customWidth="1"/>
    <col min="14091" max="14107" width="36.85546875" style="129" customWidth="1"/>
    <col min="14108" max="14108" width="37" style="129" customWidth="1"/>
    <col min="14109" max="14124" width="36.85546875" style="129" customWidth="1"/>
    <col min="14125" max="14125" width="37.140625" style="129" customWidth="1"/>
    <col min="14126" max="14127" width="36.85546875" style="129" customWidth="1"/>
    <col min="14128" max="14128" width="36.5703125" style="129" customWidth="1"/>
    <col min="14129" max="14130" width="36.85546875" style="129" customWidth="1"/>
    <col min="14131" max="14131" width="36.5703125" style="129" customWidth="1"/>
    <col min="14132" max="14132" width="37" style="129" customWidth="1"/>
    <col min="14133" max="14151" width="36.85546875" style="129" customWidth="1"/>
    <col min="14152" max="14152" width="37" style="129" customWidth="1"/>
    <col min="14153" max="14170" width="36.85546875" style="129" customWidth="1"/>
    <col min="14171" max="14171" width="36.5703125" style="129" customWidth="1"/>
    <col min="14172" max="14184" width="36.85546875" style="129" customWidth="1"/>
    <col min="14185" max="14185" width="36.5703125" style="129" customWidth="1"/>
    <col min="14186" max="14188" width="36.85546875" style="129" customWidth="1"/>
    <col min="14189" max="14189" width="36.5703125" style="129" customWidth="1"/>
    <col min="14190" max="14197" width="36.85546875" style="129" customWidth="1"/>
    <col min="14198" max="14198" width="36.5703125" style="129" customWidth="1"/>
    <col min="14199" max="14336" width="36.85546875" style="129"/>
    <col min="14337" max="14337" width="18.5703125" style="129" customWidth="1"/>
    <col min="14338" max="14346" width="31.42578125" style="129" customWidth="1"/>
    <col min="14347" max="14363" width="36.85546875" style="129" customWidth="1"/>
    <col min="14364" max="14364" width="37" style="129" customWidth="1"/>
    <col min="14365" max="14380" width="36.85546875" style="129" customWidth="1"/>
    <col min="14381" max="14381" width="37.140625" style="129" customWidth="1"/>
    <col min="14382" max="14383" width="36.85546875" style="129" customWidth="1"/>
    <col min="14384" max="14384" width="36.5703125" style="129" customWidth="1"/>
    <col min="14385" max="14386" width="36.85546875" style="129" customWidth="1"/>
    <col min="14387" max="14387" width="36.5703125" style="129" customWidth="1"/>
    <col min="14388" max="14388" width="37" style="129" customWidth="1"/>
    <col min="14389" max="14407" width="36.85546875" style="129" customWidth="1"/>
    <col min="14408" max="14408" width="37" style="129" customWidth="1"/>
    <col min="14409" max="14426" width="36.85546875" style="129" customWidth="1"/>
    <col min="14427" max="14427" width="36.5703125" style="129" customWidth="1"/>
    <col min="14428" max="14440" width="36.85546875" style="129" customWidth="1"/>
    <col min="14441" max="14441" width="36.5703125" style="129" customWidth="1"/>
    <col min="14442" max="14444" width="36.85546875" style="129" customWidth="1"/>
    <col min="14445" max="14445" width="36.5703125" style="129" customWidth="1"/>
    <col min="14446" max="14453" width="36.85546875" style="129" customWidth="1"/>
    <col min="14454" max="14454" width="36.5703125" style="129" customWidth="1"/>
    <col min="14455" max="14592" width="36.85546875" style="129"/>
    <col min="14593" max="14593" width="18.5703125" style="129" customWidth="1"/>
    <col min="14594" max="14602" width="31.42578125" style="129" customWidth="1"/>
    <col min="14603" max="14619" width="36.85546875" style="129" customWidth="1"/>
    <col min="14620" max="14620" width="37" style="129" customWidth="1"/>
    <col min="14621" max="14636" width="36.85546875" style="129" customWidth="1"/>
    <col min="14637" max="14637" width="37.140625" style="129" customWidth="1"/>
    <col min="14638" max="14639" width="36.85546875" style="129" customWidth="1"/>
    <col min="14640" max="14640" width="36.5703125" style="129" customWidth="1"/>
    <col min="14641" max="14642" width="36.85546875" style="129" customWidth="1"/>
    <col min="14643" max="14643" width="36.5703125" style="129" customWidth="1"/>
    <col min="14644" max="14644" width="37" style="129" customWidth="1"/>
    <col min="14645" max="14663" width="36.85546875" style="129" customWidth="1"/>
    <col min="14664" max="14664" width="37" style="129" customWidth="1"/>
    <col min="14665" max="14682" width="36.85546875" style="129" customWidth="1"/>
    <col min="14683" max="14683" width="36.5703125" style="129" customWidth="1"/>
    <col min="14684" max="14696" width="36.85546875" style="129" customWidth="1"/>
    <col min="14697" max="14697" width="36.5703125" style="129" customWidth="1"/>
    <col min="14698" max="14700" width="36.85546875" style="129" customWidth="1"/>
    <col min="14701" max="14701" width="36.5703125" style="129" customWidth="1"/>
    <col min="14702" max="14709" width="36.85546875" style="129" customWidth="1"/>
    <col min="14710" max="14710" width="36.5703125" style="129" customWidth="1"/>
    <col min="14711" max="14848" width="36.85546875" style="129"/>
    <col min="14849" max="14849" width="18.5703125" style="129" customWidth="1"/>
    <col min="14850" max="14858" width="31.42578125" style="129" customWidth="1"/>
    <col min="14859" max="14875" width="36.85546875" style="129" customWidth="1"/>
    <col min="14876" max="14876" width="37" style="129" customWidth="1"/>
    <col min="14877" max="14892" width="36.85546875" style="129" customWidth="1"/>
    <col min="14893" max="14893" width="37.140625" style="129" customWidth="1"/>
    <col min="14894" max="14895" width="36.85546875" style="129" customWidth="1"/>
    <col min="14896" max="14896" width="36.5703125" style="129" customWidth="1"/>
    <col min="14897" max="14898" width="36.85546875" style="129" customWidth="1"/>
    <col min="14899" max="14899" width="36.5703125" style="129" customWidth="1"/>
    <col min="14900" max="14900" width="37" style="129" customWidth="1"/>
    <col min="14901" max="14919" width="36.85546875" style="129" customWidth="1"/>
    <col min="14920" max="14920" width="37" style="129" customWidth="1"/>
    <col min="14921" max="14938" width="36.85546875" style="129" customWidth="1"/>
    <col min="14939" max="14939" width="36.5703125" style="129" customWidth="1"/>
    <col min="14940" max="14952" width="36.85546875" style="129" customWidth="1"/>
    <col min="14953" max="14953" width="36.5703125" style="129" customWidth="1"/>
    <col min="14954" max="14956" width="36.85546875" style="129" customWidth="1"/>
    <col min="14957" max="14957" width="36.5703125" style="129" customWidth="1"/>
    <col min="14958" max="14965" width="36.85546875" style="129" customWidth="1"/>
    <col min="14966" max="14966" width="36.5703125" style="129" customWidth="1"/>
    <col min="14967" max="15104" width="36.85546875" style="129"/>
    <col min="15105" max="15105" width="18.5703125" style="129" customWidth="1"/>
    <col min="15106" max="15114" width="31.42578125" style="129" customWidth="1"/>
    <col min="15115" max="15131" width="36.85546875" style="129" customWidth="1"/>
    <col min="15132" max="15132" width="37" style="129" customWidth="1"/>
    <col min="15133" max="15148" width="36.85546875" style="129" customWidth="1"/>
    <col min="15149" max="15149" width="37.140625" style="129" customWidth="1"/>
    <col min="15150" max="15151" width="36.85546875" style="129" customWidth="1"/>
    <col min="15152" max="15152" width="36.5703125" style="129" customWidth="1"/>
    <col min="15153" max="15154" width="36.85546875" style="129" customWidth="1"/>
    <col min="15155" max="15155" width="36.5703125" style="129" customWidth="1"/>
    <col min="15156" max="15156" width="37" style="129" customWidth="1"/>
    <col min="15157" max="15175" width="36.85546875" style="129" customWidth="1"/>
    <col min="15176" max="15176" width="37" style="129" customWidth="1"/>
    <col min="15177" max="15194" width="36.85546875" style="129" customWidth="1"/>
    <col min="15195" max="15195" width="36.5703125" style="129" customWidth="1"/>
    <col min="15196" max="15208" width="36.85546875" style="129" customWidth="1"/>
    <col min="15209" max="15209" width="36.5703125" style="129" customWidth="1"/>
    <col min="15210" max="15212" width="36.85546875" style="129" customWidth="1"/>
    <col min="15213" max="15213" width="36.5703125" style="129" customWidth="1"/>
    <col min="15214" max="15221" width="36.85546875" style="129" customWidth="1"/>
    <col min="15222" max="15222" width="36.5703125" style="129" customWidth="1"/>
    <col min="15223" max="15360" width="36.85546875" style="129"/>
    <col min="15361" max="15361" width="18.5703125" style="129" customWidth="1"/>
    <col min="15362" max="15370" width="31.42578125" style="129" customWidth="1"/>
    <col min="15371" max="15387" width="36.85546875" style="129" customWidth="1"/>
    <col min="15388" max="15388" width="37" style="129" customWidth="1"/>
    <col min="15389" max="15404" width="36.85546875" style="129" customWidth="1"/>
    <col min="15405" max="15405" width="37.140625" style="129" customWidth="1"/>
    <col min="15406" max="15407" width="36.85546875" style="129" customWidth="1"/>
    <col min="15408" max="15408" width="36.5703125" style="129" customWidth="1"/>
    <col min="15409" max="15410" width="36.85546875" style="129" customWidth="1"/>
    <col min="15411" max="15411" width="36.5703125" style="129" customWidth="1"/>
    <col min="15412" max="15412" width="37" style="129" customWidth="1"/>
    <col min="15413" max="15431" width="36.85546875" style="129" customWidth="1"/>
    <col min="15432" max="15432" width="37" style="129" customWidth="1"/>
    <col min="15433" max="15450" width="36.85546875" style="129" customWidth="1"/>
    <col min="15451" max="15451" width="36.5703125" style="129" customWidth="1"/>
    <col min="15452" max="15464" width="36.85546875" style="129" customWidth="1"/>
    <col min="15465" max="15465" width="36.5703125" style="129" customWidth="1"/>
    <col min="15466" max="15468" width="36.85546875" style="129" customWidth="1"/>
    <col min="15469" max="15469" width="36.5703125" style="129" customWidth="1"/>
    <col min="15470" max="15477" width="36.85546875" style="129" customWidth="1"/>
    <col min="15478" max="15478" width="36.5703125" style="129" customWidth="1"/>
    <col min="15479" max="15616" width="36.85546875" style="129"/>
    <col min="15617" max="15617" width="18.5703125" style="129" customWidth="1"/>
    <col min="15618" max="15626" width="31.42578125" style="129" customWidth="1"/>
    <col min="15627" max="15643" width="36.85546875" style="129" customWidth="1"/>
    <col min="15644" max="15644" width="37" style="129" customWidth="1"/>
    <col min="15645" max="15660" width="36.85546875" style="129" customWidth="1"/>
    <col min="15661" max="15661" width="37.140625" style="129" customWidth="1"/>
    <col min="15662" max="15663" width="36.85546875" style="129" customWidth="1"/>
    <col min="15664" max="15664" width="36.5703125" style="129" customWidth="1"/>
    <col min="15665" max="15666" width="36.85546875" style="129" customWidth="1"/>
    <col min="15667" max="15667" width="36.5703125" style="129" customWidth="1"/>
    <col min="15668" max="15668" width="37" style="129" customWidth="1"/>
    <col min="15669" max="15687" width="36.85546875" style="129" customWidth="1"/>
    <col min="15688" max="15688" width="37" style="129" customWidth="1"/>
    <col min="15689" max="15706" width="36.85546875" style="129" customWidth="1"/>
    <col min="15707" max="15707" width="36.5703125" style="129" customWidth="1"/>
    <col min="15708" max="15720" width="36.85546875" style="129" customWidth="1"/>
    <col min="15721" max="15721" width="36.5703125" style="129" customWidth="1"/>
    <col min="15722" max="15724" width="36.85546875" style="129" customWidth="1"/>
    <col min="15725" max="15725" width="36.5703125" style="129" customWidth="1"/>
    <col min="15726" max="15733" width="36.85546875" style="129" customWidth="1"/>
    <col min="15734" max="15734" width="36.5703125" style="129" customWidth="1"/>
    <col min="15735" max="15872" width="36.85546875" style="129"/>
    <col min="15873" max="15873" width="18.5703125" style="129" customWidth="1"/>
    <col min="15874" max="15882" width="31.42578125" style="129" customWidth="1"/>
    <col min="15883" max="15899" width="36.85546875" style="129" customWidth="1"/>
    <col min="15900" max="15900" width="37" style="129" customWidth="1"/>
    <col min="15901" max="15916" width="36.85546875" style="129" customWidth="1"/>
    <col min="15917" max="15917" width="37.140625" style="129" customWidth="1"/>
    <col min="15918" max="15919" width="36.85546875" style="129" customWidth="1"/>
    <col min="15920" max="15920" width="36.5703125" style="129" customWidth="1"/>
    <col min="15921" max="15922" width="36.85546875" style="129" customWidth="1"/>
    <col min="15923" max="15923" width="36.5703125" style="129" customWidth="1"/>
    <col min="15924" max="15924" width="37" style="129" customWidth="1"/>
    <col min="15925" max="15943" width="36.85546875" style="129" customWidth="1"/>
    <col min="15944" max="15944" width="37" style="129" customWidth="1"/>
    <col min="15945" max="15962" width="36.85546875" style="129" customWidth="1"/>
    <col min="15963" max="15963" width="36.5703125" style="129" customWidth="1"/>
    <col min="15964" max="15976" width="36.85546875" style="129" customWidth="1"/>
    <col min="15977" max="15977" width="36.5703125" style="129" customWidth="1"/>
    <col min="15978" max="15980" width="36.85546875" style="129" customWidth="1"/>
    <col min="15981" max="15981" width="36.5703125" style="129" customWidth="1"/>
    <col min="15982" max="15989" width="36.85546875" style="129" customWidth="1"/>
    <col min="15990" max="15990" width="36.5703125" style="129" customWidth="1"/>
    <col min="15991" max="16128" width="36.85546875" style="129"/>
    <col min="16129" max="16129" width="18.5703125" style="129" customWidth="1"/>
    <col min="16130" max="16138" width="31.42578125" style="129" customWidth="1"/>
    <col min="16139" max="16155" width="36.85546875" style="129" customWidth="1"/>
    <col min="16156" max="16156" width="37" style="129" customWidth="1"/>
    <col min="16157" max="16172" width="36.85546875" style="129" customWidth="1"/>
    <col min="16173" max="16173" width="37.140625" style="129" customWidth="1"/>
    <col min="16174" max="16175" width="36.85546875" style="129" customWidth="1"/>
    <col min="16176" max="16176" width="36.5703125" style="129" customWidth="1"/>
    <col min="16177" max="16178" width="36.85546875" style="129" customWidth="1"/>
    <col min="16179" max="16179" width="36.5703125" style="129" customWidth="1"/>
    <col min="16180" max="16180" width="37" style="129" customWidth="1"/>
    <col min="16181" max="16199" width="36.85546875" style="129" customWidth="1"/>
    <col min="16200" max="16200" width="37" style="129" customWidth="1"/>
    <col min="16201" max="16218" width="36.85546875" style="129" customWidth="1"/>
    <col min="16219" max="16219" width="36.5703125" style="129" customWidth="1"/>
    <col min="16220" max="16232" width="36.85546875" style="129" customWidth="1"/>
    <col min="16233" max="16233" width="36.5703125" style="129" customWidth="1"/>
    <col min="16234" max="16236" width="36.85546875" style="129" customWidth="1"/>
    <col min="16237" max="16237" width="36.5703125" style="129" customWidth="1"/>
    <col min="16238" max="16245" width="36.85546875" style="129" customWidth="1"/>
    <col min="16246" max="16246" width="36.5703125" style="129" customWidth="1"/>
    <col min="16247" max="16384" width="36.85546875" style="129"/>
  </cols>
  <sheetData>
    <row r="1" spans="1:245" s="81" customFormat="1" ht="12.75" customHeight="1" x14ac:dyDescent="0.25">
      <c r="A1" s="77" t="s">
        <v>113</v>
      </c>
      <c r="B1" s="78"/>
      <c r="C1" s="79"/>
      <c r="D1" s="79"/>
      <c r="E1" s="79"/>
      <c r="F1" s="79"/>
      <c r="G1" s="79"/>
      <c r="H1" s="79"/>
      <c r="I1" s="79"/>
      <c r="J1" s="79"/>
      <c r="K1" s="80"/>
      <c r="L1" s="80"/>
      <c r="M1" s="80"/>
      <c r="N1" s="80"/>
      <c r="O1" s="80"/>
      <c r="P1" s="80"/>
      <c r="Q1" s="80"/>
      <c r="R1" s="80"/>
      <c r="S1" s="80"/>
      <c r="T1" s="80"/>
      <c r="U1" s="80"/>
      <c r="V1" s="80"/>
      <c r="W1" s="80"/>
      <c r="X1" s="80"/>
      <c r="Y1" s="80"/>
      <c r="Z1" s="80"/>
      <c r="AA1" s="80"/>
      <c r="AB1" s="80"/>
      <c r="AC1" s="80"/>
      <c r="AD1" s="80"/>
      <c r="AE1" s="80"/>
      <c r="AF1" s="80"/>
      <c r="AG1" s="80"/>
      <c r="AH1" s="80"/>
      <c r="AI1" s="80"/>
    </row>
    <row r="2" spans="1:245" s="85" customFormat="1" ht="12.75" customHeight="1" x14ac:dyDescent="0.25">
      <c r="A2" s="82" t="s">
        <v>114</v>
      </c>
      <c r="B2" s="83">
        <v>1</v>
      </c>
      <c r="C2" s="83">
        <v>2</v>
      </c>
      <c r="D2" s="83">
        <v>3</v>
      </c>
      <c r="E2" s="83">
        <v>4</v>
      </c>
      <c r="F2" s="83">
        <v>5</v>
      </c>
      <c r="G2" s="83">
        <v>6</v>
      </c>
      <c r="H2" s="83">
        <v>7</v>
      </c>
      <c r="I2" s="83">
        <v>8</v>
      </c>
      <c r="J2" s="83">
        <v>9</v>
      </c>
      <c r="K2" s="83"/>
      <c r="L2" s="83"/>
      <c r="M2" s="83"/>
      <c r="N2" s="83"/>
      <c r="O2" s="83"/>
      <c r="P2" s="83"/>
      <c r="Q2" s="83"/>
      <c r="R2" s="83"/>
      <c r="S2" s="83"/>
      <c r="T2" s="83"/>
      <c r="U2" s="83"/>
      <c r="V2" s="83"/>
      <c r="W2" s="83"/>
      <c r="X2" s="83"/>
      <c r="Y2" s="83"/>
      <c r="Z2" s="83"/>
      <c r="AA2" s="83"/>
      <c r="AB2" s="83"/>
      <c r="AC2" s="83"/>
      <c r="AD2" s="83"/>
      <c r="AE2" s="83"/>
      <c r="AF2" s="83"/>
      <c r="AG2" s="83"/>
      <c r="AH2" s="83"/>
      <c r="AI2" s="83"/>
      <c r="AJ2" s="84"/>
      <c r="AK2" s="84" t="str">
        <f t="shared" ref="AK2:CV2" si="0">IF(AK3="","",AJ2+1)</f>
        <v/>
      </c>
      <c r="AL2" s="84" t="str">
        <f t="shared" si="0"/>
        <v/>
      </c>
      <c r="AM2" s="84" t="str">
        <f t="shared" si="0"/>
        <v/>
      </c>
      <c r="AN2" s="84" t="str">
        <f t="shared" si="0"/>
        <v/>
      </c>
      <c r="AO2" s="84" t="str">
        <f t="shared" si="0"/>
        <v/>
      </c>
      <c r="AP2" s="84" t="str">
        <f t="shared" si="0"/>
        <v/>
      </c>
      <c r="AQ2" s="84" t="str">
        <f t="shared" si="0"/>
        <v/>
      </c>
      <c r="AR2" s="84" t="str">
        <f t="shared" si="0"/>
        <v/>
      </c>
      <c r="AS2" s="84" t="str">
        <f t="shared" si="0"/>
        <v/>
      </c>
      <c r="AT2" s="84" t="str">
        <f t="shared" si="0"/>
        <v/>
      </c>
      <c r="AU2" s="84" t="str">
        <f t="shared" si="0"/>
        <v/>
      </c>
      <c r="AV2" s="84" t="str">
        <f t="shared" si="0"/>
        <v/>
      </c>
      <c r="AW2" s="84" t="str">
        <f t="shared" si="0"/>
        <v/>
      </c>
      <c r="AX2" s="84" t="str">
        <f t="shared" si="0"/>
        <v/>
      </c>
      <c r="AY2" s="84" t="str">
        <f t="shared" si="0"/>
        <v/>
      </c>
      <c r="AZ2" s="84" t="str">
        <f t="shared" si="0"/>
        <v/>
      </c>
      <c r="BA2" s="84" t="str">
        <f t="shared" si="0"/>
        <v/>
      </c>
      <c r="BB2" s="84" t="str">
        <f t="shared" si="0"/>
        <v/>
      </c>
      <c r="BC2" s="84" t="str">
        <f t="shared" si="0"/>
        <v/>
      </c>
      <c r="BD2" s="84" t="str">
        <f t="shared" si="0"/>
        <v/>
      </c>
      <c r="BE2" s="84" t="str">
        <f t="shared" si="0"/>
        <v/>
      </c>
      <c r="BF2" s="84" t="str">
        <f t="shared" si="0"/>
        <v/>
      </c>
      <c r="BG2" s="84" t="str">
        <f t="shared" si="0"/>
        <v/>
      </c>
      <c r="BH2" s="84" t="str">
        <f t="shared" si="0"/>
        <v/>
      </c>
      <c r="BI2" s="84" t="str">
        <f t="shared" si="0"/>
        <v/>
      </c>
      <c r="BJ2" s="84" t="str">
        <f t="shared" si="0"/>
        <v/>
      </c>
      <c r="BK2" s="84" t="str">
        <f t="shared" si="0"/>
        <v/>
      </c>
      <c r="BL2" s="84" t="str">
        <f t="shared" si="0"/>
        <v/>
      </c>
      <c r="BM2" s="84" t="str">
        <f t="shared" si="0"/>
        <v/>
      </c>
      <c r="BN2" s="84" t="str">
        <f t="shared" si="0"/>
        <v/>
      </c>
      <c r="BO2" s="84" t="str">
        <f t="shared" si="0"/>
        <v/>
      </c>
      <c r="BP2" s="84" t="str">
        <f t="shared" si="0"/>
        <v/>
      </c>
      <c r="BQ2" s="84" t="str">
        <f t="shared" si="0"/>
        <v/>
      </c>
      <c r="BR2" s="84" t="str">
        <f t="shared" si="0"/>
        <v/>
      </c>
      <c r="BS2" s="84" t="str">
        <f t="shared" si="0"/>
        <v/>
      </c>
      <c r="BT2" s="84" t="str">
        <f t="shared" si="0"/>
        <v/>
      </c>
      <c r="BU2" s="84" t="str">
        <f t="shared" si="0"/>
        <v/>
      </c>
      <c r="BV2" s="84" t="str">
        <f t="shared" si="0"/>
        <v/>
      </c>
      <c r="BW2" s="84" t="str">
        <f t="shared" si="0"/>
        <v/>
      </c>
      <c r="BX2" s="84" t="str">
        <f t="shared" si="0"/>
        <v/>
      </c>
      <c r="BY2" s="84" t="str">
        <f t="shared" si="0"/>
        <v/>
      </c>
      <c r="BZ2" s="84" t="str">
        <f t="shared" si="0"/>
        <v/>
      </c>
      <c r="CA2" s="84" t="str">
        <f t="shared" si="0"/>
        <v/>
      </c>
      <c r="CB2" s="84" t="str">
        <f t="shared" si="0"/>
        <v/>
      </c>
      <c r="CC2" s="84" t="str">
        <f t="shared" si="0"/>
        <v/>
      </c>
      <c r="CD2" s="84" t="str">
        <f t="shared" si="0"/>
        <v/>
      </c>
      <c r="CE2" s="84" t="str">
        <f t="shared" si="0"/>
        <v/>
      </c>
      <c r="CF2" s="84" t="str">
        <f t="shared" si="0"/>
        <v/>
      </c>
      <c r="CG2" s="84" t="str">
        <f t="shared" si="0"/>
        <v/>
      </c>
      <c r="CH2" s="84" t="str">
        <f t="shared" si="0"/>
        <v/>
      </c>
      <c r="CI2" s="84" t="str">
        <f t="shared" si="0"/>
        <v/>
      </c>
      <c r="CJ2" s="84" t="str">
        <f t="shared" si="0"/>
        <v/>
      </c>
      <c r="CK2" s="84" t="str">
        <f t="shared" si="0"/>
        <v/>
      </c>
      <c r="CL2" s="84" t="str">
        <f t="shared" si="0"/>
        <v/>
      </c>
      <c r="CM2" s="84" t="str">
        <f t="shared" si="0"/>
        <v/>
      </c>
      <c r="CN2" s="84" t="str">
        <f t="shared" si="0"/>
        <v/>
      </c>
      <c r="CO2" s="84" t="str">
        <f t="shared" si="0"/>
        <v/>
      </c>
      <c r="CP2" s="84" t="str">
        <f t="shared" si="0"/>
        <v/>
      </c>
      <c r="CQ2" s="84" t="str">
        <f t="shared" si="0"/>
        <v/>
      </c>
      <c r="CR2" s="84" t="str">
        <f t="shared" si="0"/>
        <v/>
      </c>
      <c r="CS2" s="84" t="str">
        <f t="shared" si="0"/>
        <v/>
      </c>
      <c r="CT2" s="84" t="str">
        <f t="shared" si="0"/>
        <v/>
      </c>
      <c r="CU2" s="84" t="str">
        <f t="shared" si="0"/>
        <v/>
      </c>
      <c r="CV2" s="84" t="str">
        <f t="shared" si="0"/>
        <v/>
      </c>
      <c r="CW2" s="84" t="str">
        <f t="shared" ref="CW2:FH2" si="1">IF(CW3="","",CV2+1)</f>
        <v/>
      </c>
      <c r="CX2" s="84" t="str">
        <f t="shared" si="1"/>
        <v/>
      </c>
      <c r="CY2" s="84" t="str">
        <f t="shared" si="1"/>
        <v/>
      </c>
      <c r="CZ2" s="84" t="str">
        <f t="shared" si="1"/>
        <v/>
      </c>
      <c r="DA2" s="84" t="str">
        <f t="shared" si="1"/>
        <v/>
      </c>
      <c r="DB2" s="84" t="str">
        <f t="shared" si="1"/>
        <v/>
      </c>
      <c r="DC2" s="84" t="str">
        <f t="shared" si="1"/>
        <v/>
      </c>
      <c r="DD2" s="84" t="str">
        <f t="shared" si="1"/>
        <v/>
      </c>
      <c r="DE2" s="84" t="str">
        <f t="shared" si="1"/>
        <v/>
      </c>
      <c r="DF2" s="84" t="str">
        <f t="shared" si="1"/>
        <v/>
      </c>
      <c r="DG2" s="84" t="str">
        <f t="shared" si="1"/>
        <v/>
      </c>
      <c r="DH2" s="84" t="str">
        <f t="shared" si="1"/>
        <v/>
      </c>
      <c r="DI2" s="84" t="str">
        <f t="shared" si="1"/>
        <v/>
      </c>
      <c r="DJ2" s="84" t="str">
        <f t="shared" si="1"/>
        <v/>
      </c>
      <c r="DK2" s="84" t="str">
        <f t="shared" si="1"/>
        <v/>
      </c>
      <c r="DL2" s="84" t="str">
        <f t="shared" si="1"/>
        <v/>
      </c>
      <c r="DM2" s="84" t="str">
        <f t="shared" si="1"/>
        <v/>
      </c>
      <c r="DN2" s="84" t="str">
        <f t="shared" si="1"/>
        <v/>
      </c>
      <c r="DO2" s="84" t="str">
        <f t="shared" si="1"/>
        <v/>
      </c>
      <c r="DP2" s="84" t="str">
        <f t="shared" si="1"/>
        <v/>
      </c>
      <c r="DQ2" s="84" t="str">
        <f t="shared" si="1"/>
        <v/>
      </c>
      <c r="DR2" s="84" t="str">
        <f t="shared" si="1"/>
        <v/>
      </c>
      <c r="DS2" s="84" t="str">
        <f t="shared" si="1"/>
        <v/>
      </c>
      <c r="DT2" s="84" t="str">
        <f t="shared" si="1"/>
        <v/>
      </c>
      <c r="DU2" s="84" t="str">
        <f t="shared" si="1"/>
        <v/>
      </c>
      <c r="DV2" s="84" t="str">
        <f t="shared" si="1"/>
        <v/>
      </c>
      <c r="DW2" s="84" t="str">
        <f t="shared" si="1"/>
        <v/>
      </c>
      <c r="DX2" s="84" t="str">
        <f t="shared" si="1"/>
        <v/>
      </c>
      <c r="DY2" s="84" t="str">
        <f t="shared" si="1"/>
        <v/>
      </c>
      <c r="DZ2" s="84" t="str">
        <f t="shared" si="1"/>
        <v/>
      </c>
      <c r="EA2" s="84" t="str">
        <f t="shared" si="1"/>
        <v/>
      </c>
      <c r="EB2" s="84" t="str">
        <f t="shared" si="1"/>
        <v/>
      </c>
      <c r="EC2" s="84" t="str">
        <f t="shared" si="1"/>
        <v/>
      </c>
      <c r="ED2" s="84" t="str">
        <f t="shared" si="1"/>
        <v/>
      </c>
      <c r="EE2" s="84" t="str">
        <f t="shared" si="1"/>
        <v/>
      </c>
      <c r="EF2" s="84" t="str">
        <f t="shared" si="1"/>
        <v/>
      </c>
      <c r="EG2" s="84" t="str">
        <f t="shared" si="1"/>
        <v/>
      </c>
      <c r="EH2" s="84" t="str">
        <f t="shared" si="1"/>
        <v/>
      </c>
      <c r="EI2" s="84" t="str">
        <f t="shared" si="1"/>
        <v/>
      </c>
      <c r="EJ2" s="84" t="str">
        <f t="shared" si="1"/>
        <v/>
      </c>
      <c r="EK2" s="84" t="str">
        <f t="shared" si="1"/>
        <v/>
      </c>
      <c r="EL2" s="84" t="str">
        <f t="shared" si="1"/>
        <v/>
      </c>
      <c r="EM2" s="84" t="str">
        <f t="shared" si="1"/>
        <v/>
      </c>
      <c r="EN2" s="84" t="str">
        <f t="shared" si="1"/>
        <v/>
      </c>
      <c r="EO2" s="84" t="str">
        <f t="shared" si="1"/>
        <v/>
      </c>
      <c r="EP2" s="84" t="str">
        <f t="shared" si="1"/>
        <v/>
      </c>
      <c r="EQ2" s="84" t="str">
        <f t="shared" si="1"/>
        <v/>
      </c>
      <c r="ER2" s="84" t="str">
        <f t="shared" si="1"/>
        <v/>
      </c>
      <c r="ES2" s="84" t="str">
        <f t="shared" si="1"/>
        <v/>
      </c>
      <c r="ET2" s="84" t="str">
        <f t="shared" si="1"/>
        <v/>
      </c>
      <c r="EU2" s="84" t="str">
        <f t="shared" si="1"/>
        <v/>
      </c>
      <c r="EV2" s="84" t="str">
        <f t="shared" si="1"/>
        <v/>
      </c>
      <c r="EW2" s="84" t="str">
        <f t="shared" si="1"/>
        <v/>
      </c>
      <c r="EX2" s="84" t="str">
        <f t="shared" si="1"/>
        <v/>
      </c>
      <c r="EY2" s="84" t="str">
        <f t="shared" si="1"/>
        <v/>
      </c>
      <c r="EZ2" s="84" t="str">
        <f t="shared" si="1"/>
        <v/>
      </c>
      <c r="FA2" s="84" t="str">
        <f t="shared" si="1"/>
        <v/>
      </c>
      <c r="FB2" s="84" t="str">
        <f t="shared" si="1"/>
        <v/>
      </c>
      <c r="FC2" s="84" t="str">
        <f t="shared" si="1"/>
        <v/>
      </c>
      <c r="FD2" s="84" t="str">
        <f t="shared" si="1"/>
        <v/>
      </c>
      <c r="FE2" s="84" t="str">
        <f t="shared" si="1"/>
        <v/>
      </c>
      <c r="FF2" s="84" t="str">
        <f t="shared" si="1"/>
        <v/>
      </c>
      <c r="FG2" s="84" t="str">
        <f t="shared" si="1"/>
        <v/>
      </c>
      <c r="FH2" s="84" t="str">
        <f t="shared" si="1"/>
        <v/>
      </c>
      <c r="FI2" s="84" t="str">
        <f t="shared" ref="FI2:HT2" si="2">IF(FI3="","",FH2+1)</f>
        <v/>
      </c>
      <c r="FJ2" s="84" t="str">
        <f t="shared" si="2"/>
        <v/>
      </c>
      <c r="FK2" s="84" t="str">
        <f t="shared" si="2"/>
        <v/>
      </c>
      <c r="FL2" s="84" t="str">
        <f t="shared" si="2"/>
        <v/>
      </c>
      <c r="FM2" s="84" t="str">
        <f t="shared" si="2"/>
        <v/>
      </c>
      <c r="FN2" s="84" t="str">
        <f t="shared" si="2"/>
        <v/>
      </c>
      <c r="FO2" s="84" t="str">
        <f t="shared" si="2"/>
        <v/>
      </c>
      <c r="FP2" s="84" t="str">
        <f t="shared" si="2"/>
        <v/>
      </c>
      <c r="FQ2" s="84" t="str">
        <f t="shared" si="2"/>
        <v/>
      </c>
      <c r="FR2" s="84" t="str">
        <f t="shared" si="2"/>
        <v/>
      </c>
      <c r="FS2" s="84" t="str">
        <f t="shared" si="2"/>
        <v/>
      </c>
      <c r="FT2" s="84" t="str">
        <f t="shared" si="2"/>
        <v/>
      </c>
      <c r="FU2" s="84" t="str">
        <f t="shared" si="2"/>
        <v/>
      </c>
      <c r="FV2" s="84" t="str">
        <f t="shared" si="2"/>
        <v/>
      </c>
      <c r="FW2" s="84" t="str">
        <f t="shared" si="2"/>
        <v/>
      </c>
      <c r="FX2" s="84" t="str">
        <f t="shared" si="2"/>
        <v/>
      </c>
      <c r="FY2" s="84" t="str">
        <f t="shared" si="2"/>
        <v/>
      </c>
      <c r="FZ2" s="84" t="str">
        <f t="shared" si="2"/>
        <v/>
      </c>
      <c r="GA2" s="84" t="str">
        <f t="shared" si="2"/>
        <v/>
      </c>
      <c r="GB2" s="84" t="str">
        <f t="shared" si="2"/>
        <v/>
      </c>
      <c r="GC2" s="84" t="str">
        <f t="shared" si="2"/>
        <v/>
      </c>
      <c r="GD2" s="84" t="str">
        <f t="shared" si="2"/>
        <v/>
      </c>
      <c r="GE2" s="84" t="str">
        <f t="shared" si="2"/>
        <v/>
      </c>
      <c r="GF2" s="84" t="str">
        <f t="shared" si="2"/>
        <v/>
      </c>
      <c r="GG2" s="84" t="str">
        <f t="shared" si="2"/>
        <v/>
      </c>
      <c r="GH2" s="84" t="str">
        <f t="shared" si="2"/>
        <v/>
      </c>
      <c r="GI2" s="84" t="str">
        <f t="shared" si="2"/>
        <v/>
      </c>
      <c r="GJ2" s="84" t="str">
        <f t="shared" si="2"/>
        <v/>
      </c>
      <c r="GK2" s="84" t="str">
        <f t="shared" si="2"/>
        <v/>
      </c>
      <c r="GL2" s="84" t="str">
        <f t="shared" si="2"/>
        <v/>
      </c>
      <c r="GM2" s="84" t="str">
        <f t="shared" si="2"/>
        <v/>
      </c>
      <c r="GN2" s="84" t="str">
        <f t="shared" si="2"/>
        <v/>
      </c>
      <c r="GO2" s="84" t="str">
        <f t="shared" si="2"/>
        <v/>
      </c>
      <c r="GP2" s="84" t="str">
        <f t="shared" si="2"/>
        <v/>
      </c>
      <c r="GQ2" s="84" t="str">
        <f t="shared" si="2"/>
        <v/>
      </c>
      <c r="GR2" s="84" t="str">
        <f t="shared" si="2"/>
        <v/>
      </c>
      <c r="GS2" s="84" t="str">
        <f t="shared" si="2"/>
        <v/>
      </c>
      <c r="GT2" s="84" t="str">
        <f t="shared" si="2"/>
        <v/>
      </c>
      <c r="GU2" s="84" t="str">
        <f t="shared" si="2"/>
        <v/>
      </c>
      <c r="GV2" s="84" t="str">
        <f t="shared" si="2"/>
        <v/>
      </c>
      <c r="GW2" s="84" t="str">
        <f t="shared" si="2"/>
        <v/>
      </c>
      <c r="GX2" s="84" t="str">
        <f t="shared" si="2"/>
        <v/>
      </c>
      <c r="GY2" s="84" t="str">
        <f t="shared" si="2"/>
        <v/>
      </c>
      <c r="GZ2" s="84" t="str">
        <f t="shared" si="2"/>
        <v/>
      </c>
      <c r="HA2" s="84" t="str">
        <f t="shared" si="2"/>
        <v/>
      </c>
      <c r="HB2" s="84" t="str">
        <f t="shared" si="2"/>
        <v/>
      </c>
      <c r="HC2" s="84" t="str">
        <f t="shared" si="2"/>
        <v/>
      </c>
      <c r="HD2" s="84" t="str">
        <f t="shared" si="2"/>
        <v/>
      </c>
      <c r="HE2" s="84" t="str">
        <f t="shared" si="2"/>
        <v/>
      </c>
      <c r="HF2" s="84" t="str">
        <f t="shared" si="2"/>
        <v/>
      </c>
      <c r="HG2" s="84" t="str">
        <f t="shared" si="2"/>
        <v/>
      </c>
      <c r="HH2" s="84" t="str">
        <f t="shared" si="2"/>
        <v/>
      </c>
      <c r="HI2" s="84" t="str">
        <f t="shared" si="2"/>
        <v/>
      </c>
      <c r="HJ2" s="84" t="str">
        <f t="shared" si="2"/>
        <v/>
      </c>
      <c r="HK2" s="84" t="str">
        <f t="shared" si="2"/>
        <v/>
      </c>
      <c r="HL2" s="84" t="str">
        <f t="shared" si="2"/>
        <v/>
      </c>
      <c r="HM2" s="84" t="str">
        <f t="shared" si="2"/>
        <v/>
      </c>
      <c r="HN2" s="84" t="str">
        <f t="shared" si="2"/>
        <v/>
      </c>
      <c r="HO2" s="84" t="str">
        <f t="shared" si="2"/>
        <v/>
      </c>
      <c r="HP2" s="84" t="str">
        <f t="shared" si="2"/>
        <v/>
      </c>
      <c r="HQ2" s="84" t="str">
        <f t="shared" si="2"/>
        <v/>
      </c>
      <c r="HR2" s="84" t="str">
        <f t="shared" si="2"/>
        <v/>
      </c>
      <c r="HS2" s="84" t="str">
        <f t="shared" si="2"/>
        <v/>
      </c>
      <c r="HT2" s="84" t="str">
        <f t="shared" si="2"/>
        <v/>
      </c>
      <c r="HU2" s="84" t="str">
        <f t="shared" ref="HU2:IK2" si="3">IF(HU3="","",HT2+1)</f>
        <v/>
      </c>
      <c r="HV2" s="84" t="str">
        <f t="shared" si="3"/>
        <v/>
      </c>
      <c r="HW2" s="84" t="str">
        <f t="shared" si="3"/>
        <v/>
      </c>
      <c r="HX2" s="84" t="str">
        <f t="shared" si="3"/>
        <v/>
      </c>
      <c r="HY2" s="84" t="str">
        <f t="shared" si="3"/>
        <v/>
      </c>
      <c r="HZ2" s="84" t="str">
        <f t="shared" si="3"/>
        <v/>
      </c>
      <c r="IA2" s="84" t="str">
        <f t="shared" si="3"/>
        <v/>
      </c>
      <c r="IB2" s="84" t="str">
        <f t="shared" si="3"/>
        <v/>
      </c>
      <c r="IC2" s="84" t="str">
        <f t="shared" si="3"/>
        <v/>
      </c>
      <c r="ID2" s="84" t="str">
        <f t="shared" si="3"/>
        <v/>
      </c>
      <c r="IE2" s="84" t="str">
        <f t="shared" si="3"/>
        <v/>
      </c>
      <c r="IF2" s="84" t="str">
        <f t="shared" si="3"/>
        <v/>
      </c>
      <c r="IG2" s="84" t="str">
        <f t="shared" si="3"/>
        <v/>
      </c>
      <c r="IH2" s="84" t="str">
        <f t="shared" si="3"/>
        <v/>
      </c>
      <c r="II2" s="84" t="str">
        <f t="shared" si="3"/>
        <v/>
      </c>
      <c r="IJ2" s="84" t="str">
        <f t="shared" si="3"/>
        <v/>
      </c>
      <c r="IK2" s="84" t="str">
        <f t="shared" si="3"/>
        <v/>
      </c>
    </row>
    <row r="3" spans="1:245" s="89" customFormat="1" x14ac:dyDescent="0.2">
      <c r="A3" s="86" t="s">
        <v>115</v>
      </c>
      <c r="B3" s="210" t="s">
        <v>146</v>
      </c>
      <c r="C3" s="217" t="s">
        <v>146</v>
      </c>
      <c r="D3" s="210" t="s">
        <v>146</v>
      </c>
      <c r="E3" s="87" t="s">
        <v>146</v>
      </c>
      <c r="F3" s="87" t="s">
        <v>146</v>
      </c>
      <c r="G3" s="210"/>
      <c r="H3" s="87"/>
      <c r="I3" s="87"/>
      <c r="J3" s="87"/>
      <c r="K3" s="88"/>
      <c r="L3" s="88"/>
      <c r="M3" s="88"/>
      <c r="N3" s="88"/>
      <c r="O3" s="88"/>
      <c r="P3" s="88"/>
      <c r="Q3" s="88"/>
      <c r="R3" s="88"/>
      <c r="S3" s="88"/>
      <c r="T3" s="88"/>
      <c r="U3" s="88"/>
      <c r="V3" s="88"/>
      <c r="W3" s="88"/>
      <c r="X3" s="88"/>
      <c r="Y3" s="88"/>
      <c r="Z3" s="88"/>
      <c r="AA3" s="88"/>
      <c r="AB3" s="88"/>
      <c r="AC3" s="88"/>
      <c r="AD3" s="88"/>
      <c r="AE3" s="88"/>
      <c r="AF3" s="88"/>
      <c r="AG3" s="88"/>
      <c r="AH3" s="88"/>
      <c r="AI3" s="88"/>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row>
    <row r="4" spans="1:245" s="89" customFormat="1" ht="63.75" x14ac:dyDescent="0.2">
      <c r="A4" s="86" t="s">
        <v>116</v>
      </c>
      <c r="B4" s="210" t="s">
        <v>278</v>
      </c>
      <c r="C4" s="210" t="s">
        <v>287</v>
      </c>
      <c r="D4" s="210" t="s">
        <v>327</v>
      </c>
      <c r="E4" s="87" t="s">
        <v>328</v>
      </c>
      <c r="F4" s="87" t="s">
        <v>446</v>
      </c>
      <c r="G4" s="210"/>
      <c r="H4" s="87"/>
      <c r="I4" s="87"/>
      <c r="J4" s="87"/>
      <c r="K4" s="88"/>
      <c r="L4" s="87"/>
      <c r="M4" s="87"/>
      <c r="N4" s="87"/>
      <c r="O4" s="88"/>
      <c r="P4" s="88"/>
      <c r="Q4" s="87"/>
      <c r="R4" s="87"/>
      <c r="S4" s="87"/>
      <c r="T4" s="87"/>
      <c r="U4" s="87"/>
      <c r="V4" s="87"/>
      <c r="W4" s="87"/>
      <c r="X4" s="91"/>
      <c r="Y4" s="87"/>
      <c r="Z4" s="88"/>
      <c r="AA4" s="87"/>
      <c r="AB4" s="87"/>
      <c r="AC4" s="88"/>
      <c r="AD4" s="88"/>
      <c r="AE4" s="88"/>
      <c r="AF4" s="88"/>
      <c r="AG4" s="88"/>
      <c r="AH4" s="88"/>
      <c r="AI4" s="88"/>
      <c r="AQ4" s="92"/>
      <c r="AR4" s="92"/>
      <c r="AS4" s="92"/>
      <c r="AT4" s="92"/>
      <c r="AU4" s="92"/>
      <c r="AV4" s="92"/>
      <c r="AW4" s="92"/>
      <c r="GA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row>
    <row r="5" spans="1:245" s="96" customFormat="1" x14ac:dyDescent="0.2">
      <c r="A5" s="93" t="s">
        <v>117</v>
      </c>
      <c r="B5" s="211" t="s">
        <v>279</v>
      </c>
      <c r="C5" s="218" t="s">
        <v>288</v>
      </c>
      <c r="D5" s="218" t="s">
        <v>288</v>
      </c>
      <c r="E5" s="94" t="s">
        <v>285</v>
      </c>
      <c r="F5" s="94" t="s">
        <v>445</v>
      </c>
      <c r="G5" s="218"/>
      <c r="H5" s="94"/>
      <c r="I5" s="94"/>
      <c r="J5" s="94"/>
      <c r="K5" s="94"/>
      <c r="L5" s="95"/>
      <c r="M5" s="94"/>
      <c r="N5" s="95"/>
      <c r="O5" s="95"/>
      <c r="P5" s="95"/>
      <c r="Q5" s="94"/>
      <c r="R5" s="95"/>
      <c r="S5" s="94"/>
      <c r="T5" s="95"/>
      <c r="U5" s="94"/>
      <c r="V5" s="95"/>
      <c r="W5" s="94"/>
      <c r="X5" s="95"/>
      <c r="Y5" s="94"/>
      <c r="Z5" s="94"/>
      <c r="AA5" s="95"/>
      <c r="AB5" s="95"/>
      <c r="AC5" s="95"/>
      <c r="AD5" s="95"/>
      <c r="AE5" s="95"/>
      <c r="AF5" s="95"/>
      <c r="AG5" s="95"/>
      <c r="AH5" s="95"/>
      <c r="AI5" s="95"/>
      <c r="DO5" s="97"/>
      <c r="GC5" s="98"/>
      <c r="GD5" s="98"/>
      <c r="GE5" s="98"/>
      <c r="GF5" s="98"/>
      <c r="GG5" s="98"/>
      <c r="GH5" s="98"/>
      <c r="GI5" s="98"/>
      <c r="GJ5" s="98"/>
      <c r="GK5" s="98"/>
      <c r="GL5" s="98"/>
      <c r="GM5" s="98"/>
      <c r="GN5" s="98"/>
      <c r="GO5" s="98"/>
      <c r="GP5" s="98"/>
      <c r="GQ5" s="98"/>
      <c r="GR5" s="98"/>
      <c r="GS5" s="98"/>
      <c r="GT5" s="98"/>
      <c r="GU5" s="98"/>
      <c r="GV5" s="98"/>
      <c r="GW5" s="99"/>
      <c r="GX5" s="98"/>
      <c r="GY5" s="98"/>
      <c r="GZ5" s="98"/>
      <c r="HA5" s="98"/>
      <c r="HB5" s="98"/>
    </row>
    <row r="6" spans="1:245" s="96" customFormat="1" ht="38.25" x14ac:dyDescent="0.2">
      <c r="A6" s="93" t="s">
        <v>118</v>
      </c>
      <c r="B6" s="211" t="s">
        <v>280</v>
      </c>
      <c r="C6" s="218" t="s">
        <v>289</v>
      </c>
      <c r="D6" s="211"/>
      <c r="E6" s="94"/>
      <c r="F6" s="94"/>
      <c r="G6" s="211"/>
      <c r="H6" s="94"/>
      <c r="I6" s="94"/>
      <c r="J6" s="94"/>
      <c r="K6" s="95"/>
      <c r="L6" s="95"/>
      <c r="M6" s="95"/>
      <c r="N6" s="95"/>
      <c r="O6" s="95"/>
      <c r="P6" s="95"/>
      <c r="Q6" s="95"/>
      <c r="R6" s="95"/>
      <c r="S6" s="95"/>
      <c r="T6" s="95"/>
      <c r="U6" s="95"/>
      <c r="V6" s="95"/>
      <c r="W6" s="95"/>
      <c r="X6" s="95"/>
      <c r="Y6" s="95"/>
      <c r="Z6" s="95"/>
      <c r="AA6" s="95"/>
      <c r="AB6" s="95"/>
      <c r="AC6" s="95"/>
      <c r="AD6" s="95"/>
      <c r="AE6" s="95"/>
      <c r="AF6" s="95"/>
      <c r="AG6" s="95"/>
      <c r="AH6" s="95"/>
      <c r="AI6" s="95"/>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row>
    <row r="7" spans="1:245" s="102" customFormat="1" x14ac:dyDescent="0.2">
      <c r="A7" s="86" t="s">
        <v>119</v>
      </c>
      <c r="B7" s="212">
        <v>2011</v>
      </c>
      <c r="C7" s="219" t="s">
        <v>290</v>
      </c>
      <c r="D7" s="213" t="s">
        <v>329</v>
      </c>
      <c r="E7" s="100" t="s">
        <v>330</v>
      </c>
      <c r="F7" s="100" t="s">
        <v>447</v>
      </c>
      <c r="G7" s="213"/>
      <c r="H7" s="100"/>
      <c r="I7" s="100"/>
      <c r="J7" s="100"/>
      <c r="K7" s="101"/>
      <c r="L7" s="101"/>
      <c r="M7" s="100"/>
      <c r="N7" s="101"/>
      <c r="O7" s="101"/>
      <c r="P7" s="101"/>
      <c r="Q7" s="100"/>
      <c r="R7" s="101"/>
      <c r="S7" s="100"/>
      <c r="T7" s="101"/>
      <c r="U7" s="101"/>
      <c r="V7" s="101"/>
      <c r="W7" s="101"/>
      <c r="X7" s="101"/>
      <c r="Y7" s="101"/>
      <c r="Z7" s="101"/>
      <c r="AA7" s="101"/>
      <c r="AB7" s="101"/>
      <c r="AC7" s="101"/>
      <c r="AD7" s="101"/>
      <c r="AE7" s="101"/>
      <c r="AF7" s="101"/>
      <c r="AG7" s="101"/>
      <c r="AH7" s="101"/>
      <c r="AI7" s="101"/>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row>
    <row r="8" spans="1:245" s="102" customFormat="1" x14ac:dyDescent="0.2">
      <c r="A8" s="86" t="s">
        <v>120</v>
      </c>
      <c r="B8" s="213" t="s">
        <v>283</v>
      </c>
      <c r="C8" s="219" t="s">
        <v>291</v>
      </c>
      <c r="D8" s="213" t="s">
        <v>331</v>
      </c>
      <c r="E8" s="100"/>
      <c r="F8" s="100"/>
      <c r="G8" s="213"/>
      <c r="H8" s="100"/>
      <c r="I8" s="100"/>
      <c r="J8" s="100"/>
      <c r="K8" s="101"/>
      <c r="L8" s="101"/>
      <c r="M8" s="101"/>
      <c r="N8" s="100"/>
      <c r="O8" s="101"/>
      <c r="P8" s="101"/>
      <c r="Q8" s="101"/>
      <c r="R8" s="101"/>
      <c r="S8" s="100"/>
      <c r="T8" s="101"/>
      <c r="U8" s="101"/>
      <c r="V8" s="101"/>
      <c r="W8" s="101"/>
      <c r="X8" s="101"/>
      <c r="Y8" s="101"/>
      <c r="Z8" s="101"/>
      <c r="AA8" s="101"/>
      <c r="AB8" s="101"/>
      <c r="AC8" s="101"/>
      <c r="AD8" s="101"/>
      <c r="AE8" s="101"/>
      <c r="AF8" s="101"/>
      <c r="AG8" s="101"/>
      <c r="AH8" s="101"/>
      <c r="AI8" s="101"/>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row>
    <row r="9" spans="1:245" s="96" customFormat="1" x14ac:dyDescent="0.2">
      <c r="A9" s="93" t="s">
        <v>121</v>
      </c>
      <c r="B9" s="211"/>
      <c r="C9" s="218"/>
      <c r="D9" s="211"/>
      <c r="E9" s="94"/>
      <c r="F9" s="94"/>
      <c r="G9" s="211"/>
      <c r="H9" s="94"/>
      <c r="I9" s="94"/>
      <c r="J9" s="94"/>
      <c r="K9" s="95"/>
      <c r="L9" s="94"/>
      <c r="M9" s="94"/>
      <c r="N9" s="95"/>
      <c r="O9" s="95"/>
      <c r="P9" s="95"/>
      <c r="Q9" s="104"/>
      <c r="R9" s="95"/>
      <c r="S9" s="94"/>
      <c r="T9" s="94"/>
      <c r="U9" s="94"/>
      <c r="V9" s="95"/>
      <c r="W9" s="95"/>
      <c r="X9" s="95"/>
      <c r="Y9" s="95"/>
      <c r="Z9" s="95"/>
      <c r="AA9" s="95"/>
      <c r="AB9" s="95"/>
      <c r="AC9" s="95"/>
      <c r="AD9" s="95"/>
      <c r="AE9" s="95"/>
      <c r="AF9" s="95"/>
      <c r="AG9" s="95"/>
      <c r="AH9" s="95"/>
      <c r="AI9" s="95"/>
      <c r="AY9" s="97"/>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row>
    <row r="10" spans="1:245" s="96" customFormat="1" x14ac:dyDescent="0.2">
      <c r="A10" s="93" t="s">
        <v>122</v>
      </c>
      <c r="B10" s="211" t="s">
        <v>281</v>
      </c>
      <c r="C10" s="218" t="s">
        <v>281</v>
      </c>
      <c r="D10" s="211"/>
      <c r="E10" s="94" t="s">
        <v>285</v>
      </c>
      <c r="F10" s="94" t="s">
        <v>445</v>
      </c>
      <c r="G10" s="211"/>
      <c r="H10" s="94"/>
      <c r="I10" s="94"/>
      <c r="J10" s="94"/>
      <c r="K10" s="95"/>
      <c r="L10" s="95"/>
      <c r="M10" s="95"/>
      <c r="N10" s="95"/>
      <c r="O10" s="95"/>
      <c r="P10" s="95"/>
      <c r="Q10" s="94"/>
      <c r="R10" s="95"/>
      <c r="S10" s="95"/>
      <c r="T10" s="95"/>
      <c r="U10" s="95"/>
      <c r="V10" s="95"/>
      <c r="W10" s="95"/>
      <c r="X10" s="95"/>
      <c r="Y10" s="95"/>
      <c r="Z10" s="95"/>
      <c r="AA10" s="95"/>
      <c r="AB10" s="95"/>
      <c r="AC10" s="95"/>
      <c r="AD10" s="95"/>
      <c r="AE10" s="95"/>
      <c r="AF10" s="95"/>
      <c r="AG10" s="95"/>
      <c r="AH10" s="95"/>
      <c r="AI10" s="95"/>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row>
    <row r="11" spans="1:245" s="102" customFormat="1" x14ac:dyDescent="0.2">
      <c r="A11" s="86" t="s">
        <v>123</v>
      </c>
      <c r="B11" s="213"/>
      <c r="C11" s="219"/>
      <c r="D11" s="213"/>
      <c r="E11" s="100"/>
      <c r="F11" s="100"/>
      <c r="G11" s="213"/>
      <c r="H11" s="100"/>
      <c r="I11" s="100"/>
      <c r="J11" s="100"/>
      <c r="K11" s="101"/>
      <c r="L11" s="101"/>
      <c r="M11" s="101"/>
      <c r="N11" s="101"/>
      <c r="O11" s="101"/>
      <c r="P11" s="101"/>
      <c r="Q11" s="101"/>
      <c r="R11" s="101"/>
      <c r="S11" s="100"/>
      <c r="T11" s="101"/>
      <c r="U11" s="101"/>
      <c r="V11" s="101"/>
      <c r="W11" s="101"/>
      <c r="X11" s="100"/>
      <c r="Y11" s="101"/>
      <c r="Z11" s="101"/>
      <c r="AA11" s="101"/>
      <c r="AB11" s="101"/>
      <c r="AC11" s="101"/>
      <c r="AD11" s="101"/>
      <c r="AE11" s="101"/>
      <c r="AF11" s="101"/>
      <c r="AG11" s="101"/>
      <c r="AH11" s="101"/>
      <c r="AI11" s="101"/>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row>
    <row r="12" spans="1:245" s="102" customFormat="1" ht="25.5" x14ac:dyDescent="0.2">
      <c r="A12" s="86" t="s">
        <v>124</v>
      </c>
      <c r="B12" s="213" t="s">
        <v>277</v>
      </c>
      <c r="C12" s="219"/>
      <c r="D12" s="213"/>
      <c r="E12" s="100"/>
      <c r="F12" s="100"/>
      <c r="G12" s="213"/>
      <c r="H12" s="100"/>
      <c r="I12" s="100"/>
      <c r="J12" s="100"/>
      <c r="K12" s="101"/>
      <c r="L12" s="101"/>
      <c r="M12" s="101"/>
      <c r="N12" s="101"/>
      <c r="O12" s="101"/>
      <c r="P12" s="101"/>
      <c r="Q12" s="101"/>
      <c r="R12" s="101"/>
      <c r="S12" s="100"/>
      <c r="T12" s="101"/>
      <c r="U12" s="101"/>
      <c r="V12" s="101"/>
      <c r="W12" s="101"/>
      <c r="X12" s="100"/>
      <c r="Y12" s="101"/>
      <c r="Z12" s="101"/>
      <c r="AA12" s="101"/>
      <c r="AB12" s="101"/>
      <c r="AC12" s="101"/>
      <c r="AD12" s="101"/>
      <c r="AE12" s="101"/>
      <c r="AF12" s="101"/>
      <c r="AG12" s="101"/>
      <c r="AH12" s="101"/>
      <c r="AI12" s="101"/>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row>
    <row r="13" spans="1:245" s="96" customFormat="1" x14ac:dyDescent="0.2">
      <c r="A13" s="93" t="s">
        <v>125</v>
      </c>
      <c r="B13" s="211"/>
      <c r="C13" s="218"/>
      <c r="D13" s="211"/>
      <c r="E13" s="94"/>
      <c r="F13" s="94"/>
      <c r="G13" s="211"/>
      <c r="H13" s="94"/>
      <c r="I13" s="94"/>
      <c r="J13" s="94"/>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row>
    <row r="14" spans="1:245" s="96" customFormat="1" x14ac:dyDescent="0.2">
      <c r="A14" s="93" t="s">
        <v>126</v>
      </c>
      <c r="B14" s="211"/>
      <c r="C14" s="218"/>
      <c r="D14" s="211"/>
      <c r="E14" s="94"/>
      <c r="F14" s="94"/>
      <c r="G14" s="211"/>
      <c r="H14" s="94"/>
      <c r="I14" s="94"/>
      <c r="J14" s="94"/>
      <c r="K14" s="95"/>
      <c r="L14" s="95"/>
      <c r="M14" s="95"/>
      <c r="N14" s="94"/>
      <c r="O14" s="95"/>
      <c r="P14" s="95"/>
      <c r="Q14" s="95"/>
      <c r="R14" s="95"/>
      <c r="S14" s="95"/>
      <c r="T14" s="95"/>
      <c r="U14" s="95"/>
      <c r="V14" s="95"/>
      <c r="W14" s="95"/>
      <c r="X14" s="95"/>
      <c r="Y14" s="95"/>
      <c r="Z14" s="95"/>
      <c r="AA14" s="95"/>
      <c r="AB14" s="95"/>
      <c r="AC14" s="95"/>
      <c r="AD14" s="95"/>
      <c r="AE14" s="95"/>
      <c r="AF14" s="95"/>
      <c r="AG14" s="95"/>
      <c r="AH14" s="95"/>
      <c r="AI14" s="95"/>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row>
    <row r="15" spans="1:245" s="89" customFormat="1" x14ac:dyDescent="0.2">
      <c r="A15" s="86" t="s">
        <v>127</v>
      </c>
      <c r="B15" s="210"/>
      <c r="C15" s="217"/>
      <c r="D15" s="210"/>
      <c r="E15" s="87"/>
      <c r="F15" s="87"/>
      <c r="G15" s="210"/>
      <c r="H15" s="87"/>
      <c r="I15" s="87"/>
      <c r="J15" s="87"/>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45" s="102" customFormat="1" x14ac:dyDescent="0.2">
      <c r="A16" s="86" t="s">
        <v>128</v>
      </c>
      <c r="B16" s="213"/>
      <c r="C16" s="219"/>
      <c r="D16" s="213"/>
      <c r="E16" s="100"/>
      <c r="F16" s="100"/>
      <c r="G16" s="213"/>
      <c r="H16" s="100"/>
      <c r="I16" s="100"/>
      <c r="J16" s="10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CC16" s="89"/>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row>
    <row r="17" spans="1:210" s="107" customFormat="1" x14ac:dyDescent="0.2">
      <c r="A17" s="93" t="s">
        <v>129</v>
      </c>
      <c r="B17" s="214"/>
      <c r="C17" s="220"/>
      <c r="D17" s="214"/>
      <c r="E17" s="105"/>
      <c r="F17" s="105"/>
      <c r="G17" s="214"/>
      <c r="H17" s="105"/>
      <c r="I17" s="10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row>
    <row r="18" spans="1:210" s="107" customFormat="1" x14ac:dyDescent="0.2">
      <c r="A18" s="93" t="s">
        <v>130</v>
      </c>
      <c r="B18" s="214"/>
      <c r="C18" s="220"/>
      <c r="D18" s="214"/>
      <c r="E18" s="105"/>
      <c r="F18" s="105"/>
      <c r="G18" s="214"/>
      <c r="H18" s="105"/>
      <c r="I18" s="105"/>
      <c r="J18" s="105"/>
      <c r="K18" s="106"/>
      <c r="L18" s="106"/>
      <c r="M18" s="106"/>
      <c r="N18" s="106"/>
      <c r="O18" s="106"/>
      <c r="P18" s="106"/>
      <c r="Q18" s="106"/>
      <c r="R18" s="106"/>
      <c r="S18" s="106"/>
      <c r="T18" s="106"/>
      <c r="U18" s="106"/>
      <c r="V18" s="106"/>
      <c r="W18" s="106"/>
      <c r="X18" s="109"/>
      <c r="Y18" s="106"/>
      <c r="Z18" s="106"/>
      <c r="AA18" s="106"/>
      <c r="AB18" s="106"/>
      <c r="AC18" s="106"/>
      <c r="AD18" s="106"/>
      <c r="AE18" s="106"/>
      <c r="AF18" s="106"/>
      <c r="AG18" s="106"/>
      <c r="AH18" s="106"/>
      <c r="AI18" s="106"/>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row>
    <row r="19" spans="1:210" s="89" customFormat="1" x14ac:dyDescent="0.2">
      <c r="A19" s="86" t="s">
        <v>131</v>
      </c>
      <c r="B19" s="210"/>
      <c r="C19" s="217"/>
      <c r="D19" s="210"/>
      <c r="E19" s="87"/>
      <c r="F19" s="87"/>
      <c r="G19" s="210"/>
      <c r="H19" s="87"/>
      <c r="I19" s="87"/>
      <c r="J19" s="87"/>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s="114" customFormat="1" ht="45" x14ac:dyDescent="0.25">
      <c r="A20" s="110" t="s">
        <v>132</v>
      </c>
      <c r="B20" s="215"/>
      <c r="C20" s="215"/>
      <c r="D20" s="222"/>
      <c r="E20" s="236" t="s">
        <v>332</v>
      </c>
      <c r="F20" t="s">
        <v>450</v>
      </c>
      <c r="G20" s="222"/>
      <c r="H20" s="236"/>
      <c r="I20"/>
      <c r="J20" s="111"/>
      <c r="K20" s="112"/>
      <c r="L20" s="112"/>
      <c r="M20" s="113"/>
      <c r="N20" s="112"/>
      <c r="P20" s="115"/>
      <c r="Q20" s="112"/>
      <c r="R20" s="112"/>
      <c r="T20" s="112"/>
      <c r="U20" s="112"/>
      <c r="V20" s="112"/>
      <c r="W20" s="112"/>
      <c r="X20" s="112"/>
      <c r="Y20" s="112"/>
      <c r="Z20" s="112"/>
      <c r="AA20" s="115"/>
      <c r="AB20" s="115"/>
      <c r="AC20" s="115"/>
      <c r="AD20" s="115"/>
      <c r="AE20" s="115"/>
      <c r="AF20" s="115"/>
      <c r="AG20" s="115"/>
      <c r="AH20" s="115"/>
      <c r="AI20" s="115"/>
      <c r="AJ20" s="115"/>
      <c r="AK20" s="115"/>
      <c r="AL20" s="115"/>
      <c r="AM20" s="115"/>
      <c r="AN20" s="115"/>
      <c r="AO20" s="115"/>
      <c r="AP20" s="115"/>
      <c r="AQ20" s="115"/>
      <c r="AR20" s="115"/>
      <c r="AS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X20" s="115"/>
      <c r="BY20" s="115"/>
      <c r="BZ20" s="115"/>
      <c r="CA20" s="115"/>
      <c r="CB20" s="115"/>
      <c r="CC20" s="115"/>
      <c r="CD20" s="115"/>
      <c r="CE20" s="115"/>
      <c r="CF20" s="115"/>
      <c r="CG20" s="115"/>
      <c r="CH20" s="115"/>
      <c r="CI20" s="115"/>
      <c r="CK20" s="115"/>
      <c r="CL20" s="115"/>
      <c r="CN20" s="115"/>
      <c r="CO20" s="115"/>
      <c r="CP20" s="115"/>
      <c r="CQ20" s="115"/>
      <c r="CR20" s="115"/>
      <c r="CS20" s="115"/>
      <c r="CT20" s="115"/>
      <c r="CU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GC20" s="113"/>
      <c r="GE20" s="113"/>
      <c r="GI20" s="113"/>
      <c r="GJ20" s="113"/>
      <c r="GK20" s="113"/>
      <c r="GM20" s="113"/>
      <c r="GN20" s="113"/>
      <c r="GO20" s="113"/>
      <c r="GP20" s="113"/>
      <c r="GQ20" s="113"/>
      <c r="GR20" s="113"/>
      <c r="GS20" s="113"/>
      <c r="GT20" s="113"/>
      <c r="GU20" s="113"/>
      <c r="GV20" s="113"/>
      <c r="GW20" s="113"/>
      <c r="GX20" s="113"/>
      <c r="GY20" s="113"/>
      <c r="GZ20" s="113"/>
      <c r="HA20" s="113"/>
      <c r="HB20" s="113"/>
    </row>
    <row r="21" spans="1:210" s="100" customFormat="1" ht="25.5" x14ac:dyDescent="0.25">
      <c r="A21" s="116" t="s">
        <v>134</v>
      </c>
      <c r="B21" s="216"/>
      <c r="C21" s="216"/>
      <c r="D21" s="216"/>
      <c r="E21" s="117"/>
      <c r="F21" s="117"/>
      <c r="G21" s="216"/>
      <c r="H21" s="117"/>
      <c r="I21" s="117"/>
      <c r="J21" s="117"/>
      <c r="K21" s="118"/>
      <c r="L21" s="118"/>
      <c r="M21" s="119"/>
      <c r="N21" s="118"/>
      <c r="P21" s="120"/>
      <c r="Q21" s="118"/>
      <c r="R21" s="118"/>
      <c r="T21" s="118"/>
      <c r="U21" s="118"/>
      <c r="V21" s="118"/>
      <c r="W21" s="118"/>
      <c r="X21" s="118"/>
      <c r="Y21" s="118"/>
      <c r="Z21" s="118"/>
      <c r="AA21" s="120"/>
      <c r="AB21" s="120"/>
      <c r="AC21" s="120"/>
      <c r="AD21" s="120"/>
      <c r="AE21" s="120"/>
      <c r="AF21" s="120"/>
      <c r="AG21" s="120"/>
      <c r="AH21" s="120"/>
      <c r="AI21" s="120"/>
      <c r="AJ21" s="120"/>
      <c r="AK21" s="120"/>
      <c r="AL21" s="120"/>
      <c r="AM21" s="120"/>
      <c r="AN21" s="120"/>
      <c r="AO21" s="120"/>
      <c r="AP21" s="120"/>
      <c r="AQ21" s="120"/>
      <c r="AR21" s="120"/>
      <c r="AS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X21" s="120"/>
      <c r="BY21" s="120"/>
      <c r="BZ21" s="120"/>
      <c r="CA21" s="120"/>
      <c r="CB21" s="120"/>
      <c r="CC21" s="120"/>
      <c r="CD21" s="120"/>
      <c r="CE21" s="120"/>
      <c r="CF21" s="120"/>
      <c r="CG21" s="120"/>
      <c r="CH21" s="120"/>
      <c r="CI21" s="120"/>
      <c r="CK21" s="120"/>
      <c r="CL21" s="120"/>
      <c r="CN21" s="120"/>
      <c r="CO21" s="120"/>
      <c r="CP21" s="120"/>
      <c r="CQ21" s="120"/>
      <c r="CR21" s="120"/>
      <c r="CS21" s="120"/>
      <c r="CT21" s="120"/>
      <c r="CU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GC21" s="119"/>
      <c r="GE21" s="119"/>
      <c r="GI21" s="119"/>
      <c r="GJ21" s="119"/>
      <c r="GK21" s="119"/>
      <c r="GM21" s="119"/>
      <c r="GN21" s="119"/>
      <c r="GO21" s="119"/>
      <c r="GP21" s="119"/>
      <c r="GQ21" s="119"/>
      <c r="GR21" s="119"/>
      <c r="GS21" s="119"/>
      <c r="GT21" s="119"/>
      <c r="GU21" s="119"/>
      <c r="GV21" s="119"/>
      <c r="GW21" s="119"/>
      <c r="GX21" s="119"/>
      <c r="GY21" s="119"/>
      <c r="GZ21" s="119"/>
      <c r="HA21" s="119"/>
      <c r="HB21" s="119"/>
    </row>
    <row r="22" spans="1:210" s="96" customFormat="1" x14ac:dyDescent="0.2">
      <c r="A22" s="93" t="s">
        <v>135</v>
      </c>
      <c r="B22" s="211"/>
      <c r="C22" s="218"/>
      <c r="D22" s="211"/>
      <c r="E22" s="94"/>
      <c r="F22" s="94"/>
      <c r="G22" s="211"/>
      <c r="H22" s="94"/>
      <c r="I22" s="94"/>
      <c r="J22" s="94"/>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row>
    <row r="23" spans="1:210" s="107" customFormat="1" ht="25.5" x14ac:dyDescent="0.2">
      <c r="A23" s="93" t="s">
        <v>136</v>
      </c>
      <c r="B23" s="214"/>
      <c r="C23" s="220"/>
      <c r="D23" s="211"/>
      <c r="E23" s="105"/>
      <c r="F23" s="105"/>
      <c r="G23" s="211"/>
      <c r="H23" s="105"/>
      <c r="I23" s="105"/>
      <c r="J23" s="105"/>
      <c r="K23" s="95"/>
      <c r="L23" s="106"/>
      <c r="M23" s="94"/>
      <c r="N23" s="106"/>
      <c r="O23" s="106"/>
      <c r="P23" s="106"/>
      <c r="Q23" s="105"/>
      <c r="R23" s="106"/>
      <c r="S23" s="105"/>
      <c r="T23" s="106"/>
      <c r="U23" s="106"/>
      <c r="V23" s="106"/>
      <c r="W23" s="106"/>
      <c r="X23" s="105"/>
      <c r="Y23" s="106"/>
      <c r="Z23" s="106"/>
      <c r="AA23" s="106"/>
      <c r="AB23" s="106"/>
      <c r="AC23" s="106"/>
      <c r="AD23" s="106"/>
      <c r="AE23" s="106"/>
      <c r="AF23" s="106"/>
      <c r="AG23" s="106"/>
      <c r="AH23" s="106"/>
      <c r="AI23" s="106"/>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row>
    <row r="24" spans="1:210" s="102" customFormat="1" ht="25.5" x14ac:dyDescent="0.2">
      <c r="A24" s="86" t="s">
        <v>137</v>
      </c>
      <c r="B24" s="213" t="s">
        <v>282</v>
      </c>
      <c r="C24" s="219" t="s">
        <v>282</v>
      </c>
      <c r="D24" s="210" t="s">
        <v>282</v>
      </c>
      <c r="E24" s="213" t="s">
        <v>286</v>
      </c>
      <c r="F24" s="100"/>
      <c r="G24" s="210"/>
      <c r="H24" s="100"/>
      <c r="I24" s="100"/>
      <c r="J24" s="100"/>
      <c r="K24" s="88"/>
      <c r="L24" s="101"/>
      <c r="M24" s="87"/>
      <c r="N24" s="101"/>
      <c r="O24" s="101"/>
      <c r="P24" s="101"/>
      <c r="Q24" s="88"/>
      <c r="R24" s="101"/>
      <c r="S24" s="87"/>
      <c r="T24" s="101"/>
      <c r="U24" s="101"/>
      <c r="V24" s="101"/>
      <c r="W24" s="101"/>
      <c r="X24" s="101"/>
      <c r="Y24" s="101"/>
      <c r="Z24" s="101"/>
      <c r="AA24" s="101"/>
      <c r="AB24" s="101"/>
      <c r="AC24" s="101"/>
      <c r="AD24" s="101"/>
      <c r="AE24" s="101"/>
      <c r="AF24" s="101"/>
      <c r="AG24" s="101"/>
      <c r="AH24" s="101"/>
      <c r="AI24" s="101"/>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row>
    <row r="25" spans="1:210" s="89" customFormat="1" x14ac:dyDescent="0.2">
      <c r="A25" s="86" t="s">
        <v>138</v>
      </c>
      <c r="B25" s="210"/>
      <c r="C25" s="217"/>
      <c r="D25" s="210"/>
      <c r="E25" s="87"/>
      <c r="F25" s="87"/>
      <c r="G25" s="210"/>
      <c r="H25" s="87"/>
      <c r="I25" s="87"/>
      <c r="J25" s="87"/>
      <c r="K25" s="88"/>
      <c r="L25" s="88"/>
      <c r="M25" s="87"/>
      <c r="N25" s="88"/>
      <c r="O25" s="88"/>
      <c r="P25" s="88"/>
      <c r="Q25" s="87"/>
      <c r="R25" s="88"/>
      <c r="S25" s="87"/>
      <c r="T25" s="88"/>
      <c r="U25" s="88"/>
      <c r="V25" s="88"/>
      <c r="W25" s="88"/>
      <c r="X25" s="88"/>
      <c r="Y25" s="88"/>
      <c r="Z25" s="88"/>
      <c r="AA25" s="88"/>
      <c r="AB25" s="88"/>
      <c r="AC25" s="88"/>
      <c r="AD25" s="88"/>
      <c r="AE25" s="88"/>
      <c r="AF25" s="88"/>
      <c r="AG25" s="88"/>
      <c r="AH25" s="88"/>
      <c r="AI25" s="88"/>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row>
    <row r="26" spans="1:210" s="96" customFormat="1" ht="103.5" customHeight="1" x14ac:dyDescent="0.2">
      <c r="A26" s="97" t="s">
        <v>139</v>
      </c>
      <c r="B26" s="211" t="s">
        <v>570</v>
      </c>
      <c r="C26" s="211" t="s">
        <v>571</v>
      </c>
      <c r="D26" s="211" t="s">
        <v>333</v>
      </c>
      <c r="E26" s="94" t="s">
        <v>334</v>
      </c>
      <c r="F26" s="94" t="s">
        <v>448</v>
      </c>
      <c r="G26" s="211"/>
      <c r="H26" s="94"/>
      <c r="I26" s="94"/>
      <c r="J26" s="94"/>
      <c r="K26" s="121"/>
      <c r="L26" s="94"/>
      <c r="M26" s="94"/>
      <c r="N26" s="94"/>
      <c r="O26" s="94"/>
      <c r="P26" s="94"/>
      <c r="Q26" s="94"/>
      <c r="R26" s="94"/>
      <c r="S26" s="94"/>
      <c r="T26" s="94"/>
      <c r="U26" s="94"/>
      <c r="V26" s="94"/>
      <c r="W26" s="94"/>
      <c r="X26" s="94"/>
      <c r="Y26" s="94"/>
      <c r="Z26" s="94"/>
      <c r="AA26" s="122"/>
      <c r="AB26" s="122"/>
      <c r="AC26" s="122"/>
      <c r="AD26" s="94"/>
      <c r="AE26" s="122"/>
      <c r="AF26" s="122"/>
      <c r="AG26" s="122"/>
      <c r="AH26" s="122"/>
      <c r="AI26" s="122"/>
      <c r="AJ26" s="97"/>
      <c r="AK26" s="123"/>
      <c r="AL26" s="123"/>
      <c r="AM26" s="123"/>
      <c r="AN26" s="123"/>
      <c r="AO26" s="123"/>
      <c r="AP26" s="123"/>
      <c r="AQ26" s="123"/>
      <c r="AR26" s="123"/>
      <c r="AS26" s="123"/>
      <c r="AU26" s="97"/>
      <c r="AV26" s="97"/>
      <c r="AW26" s="97"/>
      <c r="AX26" s="97"/>
      <c r="BL26" s="123"/>
      <c r="DS26" s="97"/>
      <c r="DT26" s="97"/>
      <c r="GC26" s="98"/>
      <c r="GD26" s="98"/>
      <c r="GE26" s="98"/>
      <c r="GF26" s="98"/>
      <c r="GG26" s="98"/>
      <c r="GH26" s="98"/>
      <c r="GI26" s="98"/>
      <c r="GJ26" s="98"/>
      <c r="GK26" s="99"/>
      <c r="GL26" s="98"/>
      <c r="GM26" s="98"/>
      <c r="GN26" s="98"/>
      <c r="GO26" s="98"/>
      <c r="GP26" s="98"/>
      <c r="GQ26" s="98"/>
      <c r="GR26" s="98"/>
      <c r="GS26" s="98"/>
      <c r="GT26" s="98"/>
      <c r="GU26" s="98"/>
      <c r="GV26" s="98"/>
      <c r="GW26" s="98"/>
      <c r="GX26" s="98"/>
      <c r="GY26" s="98"/>
      <c r="GZ26" s="98"/>
      <c r="HA26" s="124"/>
      <c r="HB26" s="124"/>
    </row>
    <row r="27" spans="1:210" s="96" customFormat="1" ht="127.5" x14ac:dyDescent="0.25">
      <c r="A27" s="93" t="s">
        <v>140</v>
      </c>
      <c r="B27" s="211" t="s">
        <v>477</v>
      </c>
      <c r="C27" s="218"/>
      <c r="D27" s="211" t="s">
        <v>335</v>
      </c>
      <c r="E27" s="94" t="s">
        <v>336</v>
      </c>
      <c r="F27" s="94" t="s">
        <v>449</v>
      </c>
      <c r="G27" s="211"/>
      <c r="H27" s="94"/>
      <c r="I27" s="94"/>
      <c r="J27" s="94"/>
      <c r="K27" s="95"/>
      <c r="L27" s="95"/>
      <c r="M27" s="95"/>
      <c r="N27" s="95"/>
      <c r="O27" s="95"/>
      <c r="P27" s="95"/>
      <c r="Q27" s="95"/>
      <c r="R27" s="95"/>
      <c r="S27" s="94"/>
      <c r="T27" s="95"/>
      <c r="U27" s="95"/>
      <c r="V27" s="95"/>
      <c r="W27" s="95"/>
      <c r="X27" s="94"/>
      <c r="Y27" s="95"/>
      <c r="Z27" s="95"/>
      <c r="AA27" s="95"/>
      <c r="AB27" s="95"/>
      <c r="AC27" s="95"/>
      <c r="AD27" s="95"/>
      <c r="AE27" s="95"/>
      <c r="AF27" s="95"/>
      <c r="AG27" s="95"/>
      <c r="AH27" s="95"/>
      <c r="AI27" s="95"/>
    </row>
    <row r="28" spans="1:210" s="125" customFormat="1" ht="12.75" customHeight="1" x14ac:dyDescent="0.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row>
    <row r="29" spans="1:210" s="125" customFormat="1" ht="12.75" customHeight="1" x14ac:dyDescent="0.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row>
    <row r="30" spans="1:210" s="125" customFormat="1" ht="12.75" customHeight="1" x14ac:dyDescent="0.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row>
    <row r="31" spans="1:210" s="125" customFormat="1" ht="12.75" customHeight="1" x14ac:dyDescent="0.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row>
    <row r="32" spans="1:210" s="125" customFormat="1" ht="12.75" customHeight="1" x14ac:dyDescent="0.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row>
    <row r="33" spans="2:35" s="125" customFormat="1" ht="12.75" customHeight="1" x14ac:dyDescent="0.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row>
    <row r="34" spans="2:35" s="125" customFormat="1" ht="12.75" customHeight="1" x14ac:dyDescent="0.2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row>
    <row r="35" spans="2:35" s="125" customFormat="1" ht="12.75" customHeight="1" x14ac:dyDescent="0.25">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row>
    <row r="36" spans="2:35" s="125" customFormat="1" ht="12.75" customHeight="1" x14ac:dyDescent="0.2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row>
    <row r="37" spans="2:35" s="125" customFormat="1" ht="12.75" customHeight="1" x14ac:dyDescent="0.2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row>
    <row r="38" spans="2:35" s="125" customFormat="1" ht="12.75" customHeight="1" x14ac:dyDescent="0.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row>
    <row r="39" spans="2:35" s="125" customFormat="1" ht="12.75" customHeight="1" x14ac:dyDescent="0.25">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row>
    <row r="40" spans="2:35" s="125" customFormat="1" ht="12.75" customHeight="1" x14ac:dyDescent="0.25">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row>
    <row r="50" spans="1:35" ht="12.75" customHeight="1" x14ac:dyDescent="0.2">
      <c r="A50" s="127" t="s">
        <v>141</v>
      </c>
    </row>
    <row r="51" spans="1:35" s="130" customFormat="1" ht="12.75" customHeight="1" x14ac:dyDescent="0.25">
      <c r="B51" s="131" t="s">
        <v>142</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row>
    <row r="52" spans="1:35" ht="12.75" customHeight="1" x14ac:dyDescent="0.2">
      <c r="B52" s="132" t="s">
        <v>78</v>
      </c>
    </row>
    <row r="53" spans="1:35" ht="12.75" customHeight="1" x14ac:dyDescent="0.2">
      <c r="B53" s="133" t="s">
        <v>143</v>
      </c>
    </row>
    <row r="54" spans="1:35" ht="12.75" customHeight="1" x14ac:dyDescent="0.2">
      <c r="B54" s="133" t="s">
        <v>144</v>
      </c>
    </row>
    <row r="55" spans="1:35" ht="12.75" customHeight="1" x14ac:dyDescent="0.2">
      <c r="B55" s="133" t="s">
        <v>145</v>
      </c>
    </row>
    <row r="56" spans="1:35" ht="12.75" customHeight="1" x14ac:dyDescent="0.2">
      <c r="B56" s="133" t="s">
        <v>146</v>
      </c>
    </row>
    <row r="57" spans="1:35" ht="12.75" customHeight="1" x14ac:dyDescent="0.2">
      <c r="B57" s="133" t="s">
        <v>147</v>
      </c>
    </row>
    <row r="58" spans="1:35" ht="12.75" customHeight="1" x14ac:dyDescent="0.2">
      <c r="B58" s="133" t="s">
        <v>148</v>
      </c>
    </row>
    <row r="59" spans="1:35" ht="12.75" customHeight="1" x14ac:dyDescent="0.2">
      <c r="B59" s="133" t="s">
        <v>149</v>
      </c>
    </row>
    <row r="60" spans="1:35" ht="12.75" customHeight="1" x14ac:dyDescent="0.2">
      <c r="B60" s="133" t="s">
        <v>150</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A9" sqref="A9"/>
    </sheetView>
  </sheetViews>
  <sheetFormatPr defaultColWidth="9.140625" defaultRowHeight="12.75" x14ac:dyDescent="0.2"/>
  <cols>
    <col min="1" max="1" width="3.140625" style="3" customWidth="1"/>
    <col min="2" max="2" width="28.5703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8" t="s">
        <v>18</v>
      </c>
      <c r="B1" s="328"/>
      <c r="C1" s="328"/>
      <c r="D1" s="328"/>
      <c r="E1" s="328"/>
      <c r="F1" s="328"/>
      <c r="G1" s="328"/>
      <c r="H1" s="328"/>
      <c r="I1" s="328"/>
      <c r="J1" s="328"/>
      <c r="K1" s="328"/>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4" t="s">
        <v>151</v>
      </c>
      <c r="C2" s="135"/>
      <c r="D2" s="135"/>
      <c r="E2" s="135"/>
      <c r="F2" s="135"/>
      <c r="G2" s="135"/>
      <c r="H2" s="135"/>
    </row>
    <row r="3" spans="1:39" s="133" customFormat="1" ht="40.5" customHeight="1" x14ac:dyDescent="0.2">
      <c r="B3" s="136" t="s">
        <v>152</v>
      </c>
      <c r="C3" s="137" t="s">
        <v>153</v>
      </c>
      <c r="D3" s="137" t="s">
        <v>154</v>
      </c>
      <c r="E3" s="137" t="s">
        <v>88</v>
      </c>
      <c r="F3" s="137" t="s">
        <v>155</v>
      </c>
      <c r="G3" s="137" t="s">
        <v>156</v>
      </c>
      <c r="H3" s="137" t="s">
        <v>157</v>
      </c>
      <c r="I3" s="138" t="s">
        <v>17</v>
      </c>
      <c r="J3" s="137" t="s">
        <v>158</v>
      </c>
      <c r="K3" s="137" t="s">
        <v>159</v>
      </c>
    </row>
    <row r="4" spans="1:39" s="133" customFormat="1" x14ac:dyDescent="0.2">
      <c r="B4" s="59" t="s">
        <v>521</v>
      </c>
      <c r="C4" s="46" t="s">
        <v>517</v>
      </c>
      <c r="D4" s="139">
        <v>2</v>
      </c>
      <c r="E4" s="139">
        <v>1</v>
      </c>
      <c r="F4" s="139">
        <v>2</v>
      </c>
      <c r="G4" s="139">
        <v>1</v>
      </c>
      <c r="H4" s="140">
        <v>1</v>
      </c>
      <c r="I4" s="141" t="str">
        <f t="shared" ref="I4:I7" si="0">IF(D4&lt;&gt;"",D4&amp;","&amp;E4&amp;","&amp;F4&amp;","&amp;G4&amp;","&amp;H4,"0,0,0,0,0")</f>
        <v>2,1,2,1,1</v>
      </c>
      <c r="J4" s="142" t="str">
        <f>IF(MAX(D4:H4)&gt;=5, "Requirements not met", "Requirements met")</f>
        <v>Requirements met</v>
      </c>
      <c r="K4" s="143" t="str">
        <f>IF(MAX(D4:H4)&gt;=5, "Not OK", "OK")</f>
        <v>OK</v>
      </c>
    </row>
    <row r="5" spans="1:39" s="133" customFormat="1" x14ac:dyDescent="0.2">
      <c r="B5" s="59" t="s">
        <v>522</v>
      </c>
      <c r="C5" s="46">
        <v>2</v>
      </c>
      <c r="D5" s="139">
        <v>2</v>
      </c>
      <c r="E5" s="139">
        <v>1</v>
      </c>
      <c r="F5" s="139">
        <v>2</v>
      </c>
      <c r="G5" s="139">
        <v>1</v>
      </c>
      <c r="H5" s="140">
        <v>1</v>
      </c>
      <c r="I5" s="141" t="str">
        <f t="shared" ref="I5" si="1">IF(D5&lt;&gt;"",D5&amp;","&amp;E5&amp;","&amp;F5&amp;","&amp;G5&amp;","&amp;H5,"0,0,0,0,0")</f>
        <v>2,1,2,1,1</v>
      </c>
      <c r="J5" s="142" t="str">
        <f>IF(MAX(D5:H5)&gt;=5, "Requirements not met", "Requirements met")</f>
        <v>Requirements met</v>
      </c>
      <c r="K5" s="143" t="str">
        <f>IF(MAX(D5:H5)&gt;=5, "Not OK", "OK")</f>
        <v>OK</v>
      </c>
    </row>
    <row r="6" spans="1:39" s="133" customFormat="1" x14ac:dyDescent="0.2">
      <c r="B6" s="59" t="s">
        <v>518</v>
      </c>
      <c r="C6" s="46">
        <v>3</v>
      </c>
      <c r="D6" s="139">
        <v>2</v>
      </c>
      <c r="E6" s="139">
        <v>1</v>
      </c>
      <c r="F6" s="139">
        <v>2</v>
      </c>
      <c r="G6" s="139">
        <v>1</v>
      </c>
      <c r="H6" s="140">
        <v>1</v>
      </c>
      <c r="I6" s="141" t="str">
        <f t="shared" si="0"/>
        <v>2,1,2,1,1</v>
      </c>
      <c r="J6" s="142" t="str">
        <f>IF(MAX(D6:H6)&gt;=5, "Requirements not met", "Requirements met")</f>
        <v>Requirements met</v>
      </c>
      <c r="K6" s="143" t="str">
        <f>IF(MAX(D6:H6)&gt;=5, "Not OK", "OK")</f>
        <v>OK</v>
      </c>
    </row>
    <row r="7" spans="1:39" s="133" customFormat="1" x14ac:dyDescent="0.2">
      <c r="B7" s="59" t="s">
        <v>519</v>
      </c>
      <c r="C7" s="46">
        <v>4</v>
      </c>
      <c r="D7" s="139">
        <v>2</v>
      </c>
      <c r="E7" s="139">
        <v>1</v>
      </c>
      <c r="F7" s="139">
        <v>3</v>
      </c>
      <c r="G7" s="139">
        <v>1</v>
      </c>
      <c r="H7" s="140">
        <v>1</v>
      </c>
      <c r="I7" s="141" t="str">
        <f t="shared" si="0"/>
        <v>2,1,3,1,1</v>
      </c>
      <c r="J7" s="142" t="str">
        <f>IF(MAX(D7:H7)&gt;=5, "Requirements not met", "Requirements met")</f>
        <v>Requirements met</v>
      </c>
      <c r="K7" s="143" t="str">
        <f>IF(MAX(D7:H7)&gt;=5, "Not OK", "OK")</f>
        <v>OK</v>
      </c>
    </row>
    <row r="8" spans="1:39" s="133" customFormat="1" x14ac:dyDescent="0.2">
      <c r="B8" s="61" t="s">
        <v>520</v>
      </c>
      <c r="C8" s="262">
        <v>5</v>
      </c>
      <c r="D8" s="139">
        <v>1</v>
      </c>
      <c r="E8" s="139">
        <v>1</v>
      </c>
      <c r="F8" s="139">
        <v>2</v>
      </c>
      <c r="G8" s="139">
        <v>1</v>
      </c>
      <c r="H8" s="140">
        <v>1</v>
      </c>
      <c r="I8" s="141" t="str">
        <f>IF(D8&lt;&gt;"",D8&amp;","&amp;E8&amp;","&amp;F8&amp;","&amp;G8&amp;","&amp;H8,"0,0,0,0,0")</f>
        <v>1,1,2,1,1</v>
      </c>
      <c r="J8" s="142" t="str">
        <f>IF(MAX(D8:H8)&gt;=5, "Requirements not met", "Requirements met")</f>
        <v>Requirements met</v>
      </c>
      <c r="K8" s="143" t="str">
        <f>IF(MAX(D8:H8)&gt;=5, "Not OK", "OK")</f>
        <v>OK</v>
      </c>
    </row>
    <row r="9" spans="1:39" s="133" customFormat="1" ht="12.75" customHeight="1" x14ac:dyDescent="0.2">
      <c r="B9" s="144" t="s">
        <v>72</v>
      </c>
      <c r="C9" s="145"/>
      <c r="D9" s="145"/>
      <c r="E9" s="145"/>
      <c r="F9" s="145"/>
      <c r="G9" s="145"/>
      <c r="H9" s="145"/>
      <c r="I9" s="146" t="str">
        <f>MAX(D4:D8)&amp;","&amp;MAX(E4:E8)&amp;","&amp;MAX(F4:F8)&amp;","&amp;MAX(G4:G8)&amp;","&amp;MAX(H4:H8)</f>
        <v>2,1,3,1,1</v>
      </c>
      <c r="J9" s="329"/>
      <c r="K9" s="329"/>
    </row>
    <row r="10" spans="1:39" ht="20.25" x14ac:dyDescent="0.3">
      <c r="B10" s="11"/>
      <c r="C10" s="11"/>
      <c r="D10" s="11"/>
      <c r="E10" s="11"/>
      <c r="F10" s="11"/>
      <c r="G10" s="11"/>
      <c r="H10" s="11"/>
      <c r="I10" s="76"/>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34" t="s">
        <v>160</v>
      </c>
      <c r="C11" s="11"/>
      <c r="D11" s="11"/>
      <c r="E11" s="11"/>
      <c r="F11" s="11"/>
      <c r="G11" s="11"/>
      <c r="H11" s="76"/>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48" customFormat="1" ht="13.5" thickBot="1" x14ac:dyDescent="0.25">
      <c r="A12" s="147" t="s">
        <v>161</v>
      </c>
    </row>
    <row r="13" spans="1:39" ht="17.25" customHeight="1" thickBot="1" x14ac:dyDescent="0.25">
      <c r="B13" s="330" t="s">
        <v>162</v>
      </c>
      <c r="C13" s="332" t="s">
        <v>163</v>
      </c>
      <c r="D13" s="333"/>
      <c r="E13" s="333"/>
      <c r="F13" s="333"/>
      <c r="G13" s="334"/>
    </row>
    <row r="14" spans="1:39" ht="13.5" thickBot="1" x14ac:dyDescent="0.25">
      <c r="B14" s="331"/>
      <c r="C14" s="149">
        <v>1</v>
      </c>
      <c r="D14" s="149">
        <v>2</v>
      </c>
      <c r="E14" s="149">
        <v>3</v>
      </c>
      <c r="F14" s="149">
        <v>4</v>
      </c>
      <c r="G14" s="149">
        <v>5</v>
      </c>
    </row>
    <row r="15" spans="1:39" ht="72.75" thickBot="1" x14ac:dyDescent="0.25">
      <c r="B15" s="335" t="s">
        <v>164</v>
      </c>
      <c r="C15" s="150" t="s">
        <v>165</v>
      </c>
      <c r="D15" s="150" t="s">
        <v>166</v>
      </c>
      <c r="E15" s="150" t="s">
        <v>167</v>
      </c>
      <c r="F15" s="150" t="s">
        <v>168</v>
      </c>
      <c r="G15" s="150" t="s">
        <v>169</v>
      </c>
    </row>
    <row r="16" spans="1:39" ht="24" customHeight="1" thickBot="1" x14ac:dyDescent="0.25">
      <c r="B16" s="336"/>
      <c r="C16" s="338" t="s">
        <v>170</v>
      </c>
      <c r="D16" s="339"/>
      <c r="E16" s="338" t="s">
        <v>171</v>
      </c>
      <c r="F16" s="340"/>
      <c r="G16" s="339"/>
    </row>
    <row r="17" spans="1:18" ht="36.75" thickBot="1" x14ac:dyDescent="0.25">
      <c r="B17" s="337"/>
      <c r="C17" s="151" t="s">
        <v>172</v>
      </c>
      <c r="D17" s="341" t="s">
        <v>173</v>
      </c>
      <c r="E17" s="342"/>
      <c r="F17" s="343" t="s">
        <v>174</v>
      </c>
      <c r="G17" s="344"/>
    </row>
    <row r="18" spans="1:18" ht="60.75" thickBot="1" x14ac:dyDescent="0.25">
      <c r="B18" s="152" t="s">
        <v>88</v>
      </c>
      <c r="C18" s="150" t="s">
        <v>175</v>
      </c>
      <c r="D18" s="150" t="s">
        <v>176</v>
      </c>
      <c r="E18" s="150" t="s">
        <v>177</v>
      </c>
      <c r="F18" s="150" t="s">
        <v>178</v>
      </c>
      <c r="G18" s="150" t="s">
        <v>179</v>
      </c>
    </row>
    <row r="19" spans="1:18" ht="44.25" customHeight="1" thickBot="1" x14ac:dyDescent="0.25">
      <c r="B19" s="152" t="s">
        <v>155</v>
      </c>
      <c r="C19" s="150" t="s">
        <v>180</v>
      </c>
      <c r="D19" s="150" t="s">
        <v>181</v>
      </c>
      <c r="E19" s="150" t="s">
        <v>182</v>
      </c>
      <c r="F19" s="150" t="s">
        <v>183</v>
      </c>
      <c r="G19" s="150" t="s">
        <v>184</v>
      </c>
    </row>
    <row r="20" spans="1:18" ht="44.25" customHeight="1" thickBot="1" x14ac:dyDescent="0.25">
      <c r="B20" s="152" t="s">
        <v>156</v>
      </c>
      <c r="C20" s="150" t="s">
        <v>185</v>
      </c>
      <c r="D20" s="150" t="s">
        <v>186</v>
      </c>
      <c r="E20" s="150" t="s">
        <v>187</v>
      </c>
      <c r="F20" s="150" t="s">
        <v>188</v>
      </c>
      <c r="G20" s="150" t="s">
        <v>189</v>
      </c>
    </row>
    <row r="21" spans="1:18" ht="44.25" customHeight="1" thickBot="1" x14ac:dyDescent="0.25">
      <c r="B21" s="152" t="s">
        <v>190</v>
      </c>
      <c r="C21" s="150" t="s">
        <v>191</v>
      </c>
      <c r="D21" s="338" t="s">
        <v>192</v>
      </c>
      <c r="E21" s="339"/>
      <c r="F21" s="150" t="s">
        <v>193</v>
      </c>
      <c r="G21" s="150" t="s">
        <v>194</v>
      </c>
    </row>
    <row r="22" spans="1:18" x14ac:dyDescent="0.2">
      <c r="B22" s="153"/>
      <c r="C22" s="154"/>
      <c r="D22" s="154"/>
      <c r="E22" s="154"/>
      <c r="F22" s="154"/>
      <c r="G22" s="154"/>
    </row>
    <row r="23" spans="1:18" customFormat="1" ht="15" x14ac:dyDescent="0.25">
      <c r="A23" s="155" t="s">
        <v>195</v>
      </c>
      <c r="C23" s="156"/>
      <c r="D23" s="156"/>
      <c r="E23" s="156"/>
      <c r="F23" s="156"/>
      <c r="G23" s="156"/>
      <c r="H23" s="156"/>
      <c r="I23" s="156"/>
      <c r="J23" s="156"/>
      <c r="K23" s="156"/>
      <c r="L23" s="156"/>
      <c r="M23" s="156"/>
      <c r="N23" s="156"/>
      <c r="O23" s="156"/>
      <c r="P23" s="156"/>
      <c r="Q23" s="156"/>
      <c r="R23" s="156"/>
    </row>
    <row r="24" spans="1:18" customFormat="1" ht="15" x14ac:dyDescent="0.25">
      <c r="B24" s="157" t="s">
        <v>196</v>
      </c>
      <c r="C24" s="158"/>
      <c r="D24" s="158"/>
      <c r="E24" s="158"/>
      <c r="F24" s="158"/>
      <c r="G24" s="158"/>
      <c r="H24" s="159"/>
      <c r="I24" s="156"/>
      <c r="J24" s="156"/>
      <c r="K24" s="156"/>
      <c r="L24" s="156"/>
      <c r="M24" s="156"/>
      <c r="N24" s="156"/>
      <c r="O24" s="156"/>
      <c r="P24" s="156"/>
      <c r="Q24" s="156"/>
      <c r="R24" s="156"/>
    </row>
    <row r="25" spans="1:18" customFormat="1" ht="65.25" customHeight="1" x14ac:dyDescent="0.25">
      <c r="B25" s="160"/>
      <c r="C25" s="325" t="s">
        <v>197</v>
      </c>
      <c r="D25" s="326"/>
      <c r="E25" s="326"/>
      <c r="F25" s="326"/>
      <c r="G25" s="326"/>
      <c r="H25" s="327"/>
      <c r="N25" s="161"/>
      <c r="O25" s="161"/>
      <c r="P25" s="161"/>
      <c r="Q25" s="161"/>
      <c r="R25" s="161"/>
    </row>
    <row r="26" spans="1:18" customFormat="1" ht="15" x14ac:dyDescent="0.25">
      <c r="B26" s="160"/>
      <c r="C26" s="162" t="s">
        <v>198</v>
      </c>
      <c r="D26" s="163"/>
      <c r="E26" s="163"/>
      <c r="F26" s="163"/>
      <c r="G26" s="163"/>
      <c r="H26" s="164"/>
      <c r="I26" s="156"/>
      <c r="J26" s="156"/>
      <c r="K26" s="156"/>
      <c r="L26" s="156"/>
      <c r="M26" s="156"/>
      <c r="N26" s="156"/>
      <c r="O26" s="156"/>
      <c r="P26" s="156"/>
      <c r="Q26" s="156"/>
      <c r="R26" s="156"/>
    </row>
    <row r="27" spans="1:18" customFormat="1" ht="15" x14ac:dyDescent="0.25">
      <c r="B27" s="160"/>
      <c r="C27" s="165" t="s">
        <v>199</v>
      </c>
      <c r="D27" s="166"/>
      <c r="E27" s="166"/>
      <c r="F27" s="166"/>
      <c r="G27" s="166"/>
      <c r="H27" s="167"/>
      <c r="I27" s="156"/>
      <c r="J27" s="156"/>
      <c r="K27" s="156"/>
      <c r="L27" s="156"/>
      <c r="M27" s="156"/>
      <c r="N27" s="156"/>
      <c r="O27" s="156"/>
      <c r="P27" s="156"/>
      <c r="Q27" s="156"/>
      <c r="R27" s="156"/>
    </row>
    <row r="28" spans="1:18" customFormat="1" ht="15" x14ac:dyDescent="0.25">
      <c r="B28" s="160"/>
      <c r="C28" s="165" t="s">
        <v>200</v>
      </c>
      <c r="D28" s="166"/>
      <c r="E28" s="166"/>
      <c r="F28" s="166"/>
      <c r="G28" s="166"/>
      <c r="H28" s="167"/>
      <c r="I28" s="156"/>
      <c r="J28" s="156"/>
      <c r="K28" s="156"/>
      <c r="L28" s="156"/>
      <c r="M28" s="156"/>
      <c r="N28" s="156"/>
      <c r="O28" s="156"/>
      <c r="P28" s="156"/>
      <c r="Q28" s="156"/>
      <c r="R28" s="156"/>
    </row>
    <row r="29" spans="1:18" customFormat="1" ht="15" x14ac:dyDescent="0.25">
      <c r="B29" s="160"/>
      <c r="C29" s="165" t="s">
        <v>201</v>
      </c>
      <c r="D29" s="166"/>
      <c r="E29" s="166"/>
      <c r="F29" s="166"/>
      <c r="G29" s="166"/>
      <c r="H29" s="167"/>
      <c r="I29" s="156"/>
      <c r="J29" s="156"/>
      <c r="K29" s="156"/>
      <c r="L29" s="156"/>
      <c r="M29" s="156"/>
      <c r="N29" s="156"/>
      <c r="O29" s="156"/>
      <c r="P29" s="156"/>
      <c r="Q29" s="156"/>
      <c r="R29" s="156"/>
    </row>
    <row r="30" spans="1:18" customFormat="1" ht="15" x14ac:dyDescent="0.25">
      <c r="B30" s="160"/>
      <c r="C30" s="165" t="s">
        <v>202</v>
      </c>
      <c r="D30" s="166"/>
      <c r="E30" s="166"/>
      <c r="F30" s="166"/>
      <c r="G30" s="166"/>
      <c r="H30" s="167"/>
      <c r="I30" s="156"/>
      <c r="J30" s="156"/>
      <c r="K30" s="156"/>
      <c r="L30" s="156"/>
      <c r="M30" s="156"/>
      <c r="N30" s="156"/>
      <c r="O30" s="156"/>
      <c r="P30" s="156"/>
      <c r="Q30" s="156"/>
      <c r="R30" s="156"/>
    </row>
    <row r="31" spans="1:18" customFormat="1" ht="41.25" customHeight="1" x14ac:dyDescent="0.25">
      <c r="B31" s="160"/>
      <c r="C31" s="345" t="s">
        <v>203</v>
      </c>
      <c r="D31" s="346"/>
      <c r="E31" s="346"/>
      <c r="F31" s="346"/>
      <c r="G31" s="346"/>
      <c r="H31" s="347"/>
      <c r="N31" s="168"/>
      <c r="O31" s="168"/>
      <c r="P31" s="168"/>
      <c r="Q31" s="156"/>
      <c r="R31" s="156"/>
    </row>
    <row r="32" spans="1:18" customFormat="1" ht="38.25" customHeight="1" x14ac:dyDescent="0.25">
      <c r="B32" s="169"/>
      <c r="C32" s="325" t="s">
        <v>204</v>
      </c>
      <c r="D32" s="326"/>
      <c r="E32" s="326"/>
      <c r="F32" s="326"/>
      <c r="G32" s="326"/>
      <c r="H32" s="327"/>
      <c r="N32" s="161"/>
      <c r="O32" s="161"/>
      <c r="P32" s="161"/>
      <c r="Q32" s="161"/>
      <c r="R32" s="156"/>
    </row>
    <row r="33" spans="1:18" customFormat="1" ht="43.5" customHeight="1" x14ac:dyDescent="0.25">
      <c r="B33" s="325" t="s">
        <v>205</v>
      </c>
      <c r="C33" s="326"/>
      <c r="D33" s="326"/>
      <c r="E33" s="326"/>
      <c r="F33" s="326"/>
      <c r="G33" s="326"/>
      <c r="H33" s="327"/>
      <c r="I33" s="156"/>
      <c r="J33" s="156"/>
      <c r="K33" s="156"/>
      <c r="L33" s="156"/>
      <c r="M33" s="156"/>
      <c r="N33" s="156"/>
      <c r="O33" s="156"/>
      <c r="P33" s="156"/>
      <c r="Q33" s="156"/>
      <c r="R33" s="156"/>
    </row>
    <row r="34" spans="1:18" customFormat="1" ht="49.5" customHeight="1" x14ac:dyDescent="0.25">
      <c r="B34" s="325" t="s">
        <v>206</v>
      </c>
      <c r="C34" s="326"/>
      <c r="D34" s="326"/>
      <c r="E34" s="326"/>
      <c r="F34" s="326"/>
      <c r="G34" s="326"/>
      <c r="H34" s="327"/>
      <c r="I34" s="170"/>
    </row>
    <row r="35" spans="1:18" customFormat="1" ht="46.5" customHeight="1" x14ac:dyDescent="0.25">
      <c r="B35" s="325" t="s">
        <v>207</v>
      </c>
      <c r="C35" s="326"/>
      <c r="D35" s="326"/>
      <c r="E35" s="326"/>
      <c r="F35" s="326"/>
      <c r="G35" s="326"/>
      <c r="H35" s="327"/>
      <c r="I35" s="170"/>
    </row>
    <row r="36" spans="1:18" customFormat="1" ht="30" customHeight="1" x14ac:dyDescent="0.25">
      <c r="B36" s="325" t="s">
        <v>208</v>
      </c>
      <c r="C36" s="326"/>
      <c r="D36" s="326"/>
      <c r="E36" s="326"/>
      <c r="F36" s="326"/>
      <c r="G36" s="326"/>
      <c r="H36" s="327"/>
      <c r="I36" s="170"/>
    </row>
    <row r="37" spans="1:18" customFormat="1" ht="15" customHeight="1" x14ac:dyDescent="0.25">
      <c r="A37" s="171" t="s">
        <v>209</v>
      </c>
      <c r="B37" s="171"/>
      <c r="I37" s="172"/>
    </row>
    <row r="38" spans="1:18" customFormat="1" ht="30" customHeight="1" x14ac:dyDescent="0.25">
      <c r="B38" s="349" t="s">
        <v>210</v>
      </c>
      <c r="C38" s="350"/>
      <c r="D38" s="350"/>
      <c r="E38" s="350"/>
      <c r="F38" s="350"/>
      <c r="G38" s="350"/>
      <c r="H38" s="351"/>
    </row>
    <row r="39" spans="1:18" customFormat="1" ht="12.75" customHeight="1" x14ac:dyDescent="0.25">
      <c r="B39" s="352" t="s">
        <v>211</v>
      </c>
      <c r="C39" s="353"/>
      <c r="D39" s="353"/>
      <c r="E39" s="353"/>
      <c r="F39" s="353"/>
      <c r="G39" s="173"/>
      <c r="H39" s="174"/>
    </row>
    <row r="40" spans="1:18" customFormat="1" ht="29.25" customHeight="1" x14ac:dyDescent="0.25">
      <c r="B40" s="354" t="s">
        <v>212</v>
      </c>
      <c r="C40" s="355"/>
      <c r="D40" s="355"/>
      <c r="E40" s="355"/>
      <c r="F40" s="355"/>
      <c r="G40" s="355"/>
      <c r="H40" s="356"/>
    </row>
    <row r="41" spans="1:18" customFormat="1" ht="15" customHeight="1" x14ac:dyDescent="0.25">
      <c r="B41" s="175" t="s">
        <v>213</v>
      </c>
      <c r="C41" s="173"/>
      <c r="D41" s="173"/>
      <c r="E41" s="173"/>
      <c r="F41" s="173"/>
      <c r="G41" s="173"/>
      <c r="H41" s="174"/>
    </row>
    <row r="42" spans="1:18" customFormat="1" ht="30.75" customHeight="1" x14ac:dyDescent="0.25">
      <c r="B42" s="354" t="s">
        <v>214</v>
      </c>
      <c r="C42" s="355"/>
      <c r="D42" s="355"/>
      <c r="E42" s="355"/>
      <c r="F42" s="355"/>
      <c r="G42" s="355"/>
      <c r="H42" s="356"/>
    </row>
    <row r="43" spans="1:18" customFormat="1" ht="12.75" customHeight="1" x14ac:dyDescent="0.25">
      <c r="B43" s="357" t="s">
        <v>215</v>
      </c>
      <c r="C43" s="358"/>
      <c r="D43" s="358"/>
      <c r="E43" s="358"/>
      <c r="F43" s="358"/>
      <c r="G43" s="358"/>
      <c r="H43" s="174"/>
    </row>
    <row r="44" spans="1:18" customFormat="1" ht="35.25" customHeight="1" x14ac:dyDescent="0.25">
      <c r="B44" s="354" t="s">
        <v>216</v>
      </c>
      <c r="C44" s="355"/>
      <c r="D44" s="355"/>
      <c r="E44" s="355"/>
      <c r="F44" s="355"/>
      <c r="G44" s="355"/>
      <c r="H44" s="356"/>
    </row>
    <row r="45" spans="1:18" customFormat="1" ht="24.75" customHeight="1" x14ac:dyDescent="0.25">
      <c r="B45" s="359" t="s">
        <v>217</v>
      </c>
      <c r="C45" s="360"/>
      <c r="D45" s="360"/>
      <c r="E45" s="360"/>
      <c r="F45" s="360"/>
      <c r="G45" s="360"/>
      <c r="H45" s="361"/>
    </row>
    <row r="46" spans="1:18" customFormat="1" ht="27.75" customHeight="1" x14ac:dyDescent="0.25">
      <c r="B46" s="345" t="s">
        <v>218</v>
      </c>
      <c r="C46" s="346"/>
      <c r="D46" s="346"/>
      <c r="E46" s="346"/>
      <c r="F46" s="346"/>
      <c r="G46" s="346"/>
      <c r="H46" s="347"/>
    </row>
    <row r="47" spans="1:18" customFormat="1" ht="21" customHeight="1" x14ac:dyDescent="0.25">
      <c r="B47" s="325" t="s">
        <v>219</v>
      </c>
      <c r="C47" s="326"/>
      <c r="D47" s="326"/>
      <c r="E47" s="326"/>
      <c r="F47" s="326"/>
      <c r="G47" s="326"/>
      <c r="H47" s="327"/>
    </row>
    <row r="48" spans="1:18" customFormat="1" ht="26.25" customHeight="1" x14ac:dyDescent="0.25">
      <c r="B48" s="348" t="s">
        <v>220</v>
      </c>
      <c r="C48" s="348"/>
      <c r="D48" s="348"/>
      <c r="E48" s="348"/>
      <c r="F48" s="348"/>
      <c r="G48" s="348"/>
      <c r="H48" s="348"/>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J4:K5">
    <cfRule type="expression" dxfId="4" priority="5">
      <formula>MAX(D4:H4)&gt;=5</formula>
    </cfRule>
  </conditionalFormatting>
  <conditionalFormatting sqref="J6:K6">
    <cfRule type="expression" dxfId="3" priority="4">
      <formula>MAX(D6:H6)&gt;=5</formula>
    </cfRule>
  </conditionalFormatting>
  <conditionalFormatting sqref="J7:K7">
    <cfRule type="expression" dxfId="2" priority="3">
      <formula>MAX(D7:H7)&gt;=5</formula>
    </cfRule>
  </conditionalFormatting>
  <conditionalFormatting sqref="J8:K8">
    <cfRule type="expression" dxfId="1" priority="2">
      <formula>MAX(D8:H8)&gt;=5</formula>
    </cfRule>
  </conditionalFormatting>
  <conditionalFormatting sqref="I9">
    <cfRule type="expression" dxfId="0" priority="1">
      <formula>MAX($D$4:$H$8)&gt;=5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23"/>
  <sheetViews>
    <sheetView zoomScaleNormal="100" workbookViewId="0">
      <selection activeCell="D34" sqref="D34"/>
    </sheetView>
  </sheetViews>
  <sheetFormatPr defaultRowHeight="15" x14ac:dyDescent="0.25"/>
  <cols>
    <col min="1" max="1" width="44.28515625" bestFit="1" customWidth="1"/>
    <col min="2" max="2" width="25.85546875" customWidth="1"/>
    <col min="3" max="3" width="31.140625" bestFit="1" customWidth="1"/>
    <col min="4" max="4" width="15.5703125" customWidth="1"/>
    <col min="5" max="5" width="31.140625" bestFit="1" customWidth="1"/>
    <col min="6" max="6" width="16.140625" customWidth="1"/>
    <col min="7" max="7" width="14.5703125" bestFit="1" customWidth="1"/>
  </cols>
  <sheetData>
    <row r="1" spans="1:10" ht="20.25" x14ac:dyDescent="0.3">
      <c r="H1" s="198" t="s">
        <v>224</v>
      </c>
    </row>
    <row r="2" spans="1:10" x14ac:dyDescent="0.25">
      <c r="A2" s="200" t="s">
        <v>225</v>
      </c>
    </row>
    <row r="3" spans="1:10" x14ac:dyDescent="0.25">
      <c r="A3" s="201" t="s">
        <v>226</v>
      </c>
      <c r="B3" s="201" t="s">
        <v>59</v>
      </c>
      <c r="C3" s="201" t="s">
        <v>227</v>
      </c>
      <c r="D3" s="201" t="s">
        <v>228</v>
      </c>
      <c r="E3" s="201" t="s">
        <v>270</v>
      </c>
      <c r="F3" s="201" t="s">
        <v>221</v>
      </c>
    </row>
    <row r="4" spans="1:10" x14ac:dyDescent="0.25">
      <c r="A4" s="202" t="s">
        <v>577</v>
      </c>
      <c r="B4" s="202">
        <v>2.6</v>
      </c>
      <c r="C4" s="202">
        <v>2.2000000000000002</v>
      </c>
      <c r="D4" s="202">
        <v>3.3</v>
      </c>
      <c r="E4" s="202" t="s">
        <v>250</v>
      </c>
      <c r="F4" s="202" t="s">
        <v>479</v>
      </c>
      <c r="J4" s="202" t="s">
        <v>478</v>
      </c>
    </row>
    <row r="5" spans="1:10" x14ac:dyDescent="0.25">
      <c r="A5" s="202" t="s">
        <v>231</v>
      </c>
      <c r="B5" s="202">
        <v>75</v>
      </c>
      <c r="C5" s="202">
        <v>45</v>
      </c>
      <c r="D5" s="202">
        <v>120</v>
      </c>
      <c r="E5" s="202" t="s">
        <v>232</v>
      </c>
      <c r="F5" s="202" t="s">
        <v>479</v>
      </c>
    </row>
    <row r="6" spans="1:10" x14ac:dyDescent="0.25">
      <c r="A6" s="202" t="s">
        <v>233</v>
      </c>
      <c r="B6" s="202">
        <v>5</v>
      </c>
      <c r="C6" s="202">
        <v>1</v>
      </c>
      <c r="D6" s="202">
        <v>12</v>
      </c>
      <c r="E6" s="202" t="s">
        <v>234</v>
      </c>
      <c r="F6" s="202" t="s">
        <v>479</v>
      </c>
    </row>
    <row r="7" spans="1:10" x14ac:dyDescent="0.25">
      <c r="A7" s="202" t="s">
        <v>235</v>
      </c>
      <c r="B7" s="202">
        <v>0.5</v>
      </c>
      <c r="C7" s="202">
        <v>0.3</v>
      </c>
      <c r="D7" s="202">
        <v>1</v>
      </c>
      <c r="E7" s="202" t="s">
        <v>236</v>
      </c>
      <c r="F7" s="202" t="s">
        <v>479</v>
      </c>
    </row>
    <row r="8" spans="1:10" x14ac:dyDescent="0.25">
      <c r="A8" s="202" t="s">
        <v>237</v>
      </c>
      <c r="B8" s="202">
        <v>0.2</v>
      </c>
      <c r="C8" s="202">
        <v>0.1</v>
      </c>
      <c r="D8" s="202">
        <v>0.6</v>
      </c>
      <c r="E8" s="202" t="s">
        <v>236</v>
      </c>
      <c r="F8" s="202" t="s">
        <v>479</v>
      </c>
    </row>
    <row r="9" spans="1:10" x14ac:dyDescent="0.25">
      <c r="A9" s="202" t="s">
        <v>313</v>
      </c>
      <c r="B9" s="203">
        <v>1</v>
      </c>
      <c r="C9" s="202" t="s">
        <v>239</v>
      </c>
      <c r="D9" s="202" t="s">
        <v>239</v>
      </c>
      <c r="E9" s="202" t="s">
        <v>240</v>
      </c>
      <c r="F9" s="202" t="s">
        <v>479</v>
      </c>
    </row>
    <row r="10" spans="1:10" x14ac:dyDescent="0.25">
      <c r="A10" s="202" t="s">
        <v>314</v>
      </c>
      <c r="B10" s="203">
        <v>0.8</v>
      </c>
      <c r="C10" s="202" t="s">
        <v>239</v>
      </c>
      <c r="D10" s="202" t="s">
        <v>239</v>
      </c>
      <c r="E10" s="202" t="s">
        <v>240</v>
      </c>
      <c r="F10" s="202" t="s">
        <v>479</v>
      </c>
    </row>
    <row r="11" spans="1:10" x14ac:dyDescent="0.25">
      <c r="A11" s="202" t="s">
        <v>241</v>
      </c>
      <c r="B11" s="202">
        <v>150</v>
      </c>
      <c r="C11" s="202">
        <v>100</v>
      </c>
      <c r="D11" s="202">
        <v>200</v>
      </c>
      <c r="E11" s="202" t="s">
        <v>242</v>
      </c>
      <c r="F11" s="202" t="s">
        <v>479</v>
      </c>
    </row>
    <row r="12" spans="1:10" x14ac:dyDescent="0.25">
      <c r="A12" s="202" t="s">
        <v>243</v>
      </c>
      <c r="B12" s="266">
        <f>B105</f>
        <v>191.69957592770504</v>
      </c>
      <c r="C12" s="266">
        <f t="shared" ref="C12:D12" si="0">C105</f>
        <v>134.92493394980184</v>
      </c>
      <c r="D12" s="266">
        <f t="shared" si="0"/>
        <v>277.92690719947154</v>
      </c>
      <c r="E12" s="202" t="s">
        <v>234</v>
      </c>
      <c r="F12" s="202" t="s">
        <v>480</v>
      </c>
    </row>
    <row r="13" spans="1:10" x14ac:dyDescent="0.25">
      <c r="A13" s="226" t="s">
        <v>244</v>
      </c>
      <c r="B13" s="221"/>
      <c r="C13" s="227"/>
      <c r="D13" s="227"/>
      <c r="E13" s="202"/>
      <c r="F13" s="202" t="s">
        <v>479</v>
      </c>
    </row>
    <row r="14" spans="1:10" x14ac:dyDescent="0.25">
      <c r="A14" s="206" t="s">
        <v>567</v>
      </c>
      <c r="B14" s="228">
        <v>0.3</v>
      </c>
      <c r="C14" s="228">
        <v>0.3</v>
      </c>
      <c r="D14" s="228">
        <v>0.3</v>
      </c>
      <c r="E14" s="202" t="s">
        <v>294</v>
      </c>
      <c r="F14" s="202" t="s">
        <v>479</v>
      </c>
    </row>
    <row r="15" spans="1:10" x14ac:dyDescent="0.25">
      <c r="A15" s="206" t="s">
        <v>295</v>
      </c>
      <c r="B15" s="228">
        <v>0.25</v>
      </c>
      <c r="C15" s="228">
        <v>0.25</v>
      </c>
      <c r="D15" s="228">
        <v>0.25</v>
      </c>
      <c r="E15" s="202" t="s">
        <v>294</v>
      </c>
      <c r="F15" s="202" t="s">
        <v>479</v>
      </c>
    </row>
    <row r="16" spans="1:10" x14ac:dyDescent="0.25">
      <c r="A16" s="206" t="s">
        <v>296</v>
      </c>
      <c r="B16" s="228">
        <v>0.5</v>
      </c>
      <c r="C16" s="228">
        <v>0.5</v>
      </c>
      <c r="D16" s="228">
        <v>0.5</v>
      </c>
      <c r="E16" s="202" t="s">
        <v>294</v>
      </c>
      <c r="F16" s="202" t="s">
        <v>479</v>
      </c>
    </row>
    <row r="17" spans="1:6" x14ac:dyDescent="0.25">
      <c r="A17" s="206" t="s">
        <v>567</v>
      </c>
      <c r="B17" s="202">
        <f>B14/(1-B14)</f>
        <v>0.4285714285714286</v>
      </c>
      <c r="C17" s="202">
        <f t="shared" ref="C17:D18" si="1">C14/(1-C14)</f>
        <v>0.4285714285714286</v>
      </c>
      <c r="D17" s="202">
        <f t="shared" si="1"/>
        <v>0.4285714285714286</v>
      </c>
      <c r="E17" s="202" t="s">
        <v>297</v>
      </c>
      <c r="F17" s="202"/>
    </row>
    <row r="18" spans="1:6" x14ac:dyDescent="0.25">
      <c r="A18" s="206" t="s">
        <v>298</v>
      </c>
      <c r="B18" s="202">
        <f>B15/(1-B15)</f>
        <v>0.33333333333333331</v>
      </c>
      <c r="C18" s="202">
        <f t="shared" si="1"/>
        <v>0.33333333333333331</v>
      </c>
      <c r="D18" s="202">
        <f t="shared" si="1"/>
        <v>0.33333333333333331</v>
      </c>
      <c r="E18" s="202" t="s">
        <v>297</v>
      </c>
      <c r="F18" s="202"/>
    </row>
    <row r="19" spans="1:6" x14ac:dyDescent="0.25">
      <c r="A19" s="206" t="s">
        <v>299</v>
      </c>
      <c r="B19" s="202">
        <f>B15/(1-B15)</f>
        <v>0.33333333333333331</v>
      </c>
      <c r="C19" s="202">
        <f t="shared" ref="C19:D20" si="2">C15/(1-C15)</f>
        <v>0.33333333333333331</v>
      </c>
      <c r="D19" s="202">
        <f t="shared" si="2"/>
        <v>0.33333333333333331</v>
      </c>
      <c r="E19" s="202" t="s">
        <v>300</v>
      </c>
      <c r="F19" s="202"/>
    </row>
    <row r="20" spans="1:6" x14ac:dyDescent="0.25">
      <c r="A20" s="206" t="s">
        <v>296</v>
      </c>
      <c r="B20" s="202">
        <f>B16/(1-B16)</f>
        <v>1</v>
      </c>
      <c r="C20" s="202">
        <f t="shared" si="2"/>
        <v>1</v>
      </c>
      <c r="D20" s="202">
        <f t="shared" si="2"/>
        <v>1</v>
      </c>
      <c r="E20" s="202" t="s">
        <v>301</v>
      </c>
      <c r="F20" s="202"/>
    </row>
    <row r="21" spans="1:6" x14ac:dyDescent="0.25">
      <c r="A21" s="202"/>
      <c r="B21" s="202"/>
      <c r="E21" s="202"/>
      <c r="F21" s="202"/>
    </row>
    <row r="22" spans="1:6" x14ac:dyDescent="0.25">
      <c r="A22" s="200" t="s">
        <v>245</v>
      </c>
      <c r="F22" s="202"/>
    </row>
    <row r="23" spans="1:6" x14ac:dyDescent="0.25">
      <c r="A23" s="201" t="s">
        <v>226</v>
      </c>
      <c r="B23" s="201" t="s">
        <v>59</v>
      </c>
      <c r="C23" s="201" t="s">
        <v>227</v>
      </c>
      <c r="D23" s="201" t="s">
        <v>228</v>
      </c>
      <c r="E23" s="201" t="s">
        <v>270</v>
      </c>
      <c r="F23" s="202"/>
    </row>
    <row r="24" spans="1:6" x14ac:dyDescent="0.25">
      <c r="A24" s="202" t="s">
        <v>577</v>
      </c>
      <c r="B24" s="202">
        <v>2.6</v>
      </c>
      <c r="C24" s="202">
        <v>2.2000000000000002</v>
      </c>
      <c r="D24" s="202">
        <v>3.3</v>
      </c>
      <c r="E24" s="202" t="s">
        <v>250</v>
      </c>
      <c r="F24" s="202" t="s">
        <v>479</v>
      </c>
    </row>
    <row r="25" spans="1:6" x14ac:dyDescent="0.25">
      <c r="A25" s="202" t="s">
        <v>233</v>
      </c>
      <c r="B25" s="202">
        <v>5</v>
      </c>
      <c r="C25" s="202">
        <v>45</v>
      </c>
      <c r="D25" s="202">
        <v>120</v>
      </c>
      <c r="E25" s="202" t="s">
        <v>234</v>
      </c>
      <c r="F25" s="202" t="s">
        <v>479</v>
      </c>
    </row>
    <row r="26" spans="1:6" x14ac:dyDescent="0.25">
      <c r="A26" s="202" t="s">
        <v>235</v>
      </c>
      <c r="B26" s="202">
        <v>0.5</v>
      </c>
      <c r="C26" s="202">
        <v>0.3</v>
      </c>
      <c r="D26" s="202">
        <v>1</v>
      </c>
      <c r="E26" s="202" t="s">
        <v>236</v>
      </c>
      <c r="F26" s="202" t="s">
        <v>479</v>
      </c>
    </row>
    <row r="27" spans="1:6" x14ac:dyDescent="0.25">
      <c r="A27" s="202" t="s">
        <v>237</v>
      </c>
      <c r="B27" s="202">
        <v>0.2</v>
      </c>
      <c r="C27" s="202">
        <v>0.1</v>
      </c>
      <c r="D27" s="202">
        <v>0.6</v>
      </c>
      <c r="E27" s="202" t="s">
        <v>236</v>
      </c>
      <c r="F27" s="202" t="s">
        <v>479</v>
      </c>
    </row>
    <row r="28" spans="1:6" x14ac:dyDescent="0.25">
      <c r="A28" s="202" t="s">
        <v>238</v>
      </c>
      <c r="B28" s="203">
        <v>1</v>
      </c>
      <c r="C28" s="202" t="s">
        <v>239</v>
      </c>
      <c r="D28" s="202" t="s">
        <v>239</v>
      </c>
      <c r="E28" s="202" t="s">
        <v>240</v>
      </c>
      <c r="F28" s="202" t="s">
        <v>479</v>
      </c>
    </row>
    <row r="29" spans="1:6" x14ac:dyDescent="0.25">
      <c r="A29" s="202" t="s">
        <v>241</v>
      </c>
      <c r="B29" s="202">
        <v>150</v>
      </c>
      <c r="C29" s="202">
        <v>100</v>
      </c>
      <c r="D29" s="202">
        <v>200</v>
      </c>
      <c r="E29" s="202" t="s">
        <v>242</v>
      </c>
      <c r="F29" s="202" t="s">
        <v>479</v>
      </c>
    </row>
    <row r="30" spans="1:6" x14ac:dyDescent="0.25">
      <c r="A30" s="202" t="s">
        <v>243</v>
      </c>
      <c r="B30" s="253">
        <f>B32/1000*3600/37.9/0.3*1.1</f>
        <v>522.42744063324551</v>
      </c>
      <c r="C30" s="253">
        <f t="shared" ref="C30:D30" si="3">C32/1000*3600/37.9/0.3*1.1</f>
        <v>104.4854881266491</v>
      </c>
      <c r="D30" s="253">
        <f t="shared" si="3"/>
        <v>1044.854881266491</v>
      </c>
      <c r="E30" s="202" t="s">
        <v>234</v>
      </c>
      <c r="F30" s="202" t="s">
        <v>480</v>
      </c>
    </row>
    <row r="31" spans="1:6" x14ac:dyDescent="0.25">
      <c r="A31" s="202" t="s">
        <v>530</v>
      </c>
      <c r="B31" s="203">
        <v>0.3</v>
      </c>
      <c r="C31" s="203">
        <v>0.3</v>
      </c>
      <c r="D31" s="203">
        <v>0.3</v>
      </c>
      <c r="E31" s="202"/>
      <c r="F31" s="202" t="s">
        <v>479</v>
      </c>
    </row>
    <row r="32" spans="1:6" x14ac:dyDescent="0.25">
      <c r="A32" s="202" t="s">
        <v>246</v>
      </c>
      <c r="B32" s="202">
        <v>1500</v>
      </c>
      <c r="C32" s="202">
        <v>300</v>
      </c>
      <c r="D32" s="202">
        <v>3000</v>
      </c>
      <c r="E32" s="202" t="s">
        <v>232</v>
      </c>
      <c r="F32" s="202" t="s">
        <v>479</v>
      </c>
    </row>
    <row r="33" spans="1:9" x14ac:dyDescent="0.25">
      <c r="A33" s="202" t="s">
        <v>578</v>
      </c>
      <c r="B33" s="202">
        <f>B32-B5</f>
        <v>1425</v>
      </c>
      <c r="C33" s="202">
        <f>C32-D5</f>
        <v>180</v>
      </c>
      <c r="D33" s="202">
        <f>D32-C5</f>
        <v>2955</v>
      </c>
      <c r="E33" s="202" t="s">
        <v>232</v>
      </c>
      <c r="F33" s="202"/>
    </row>
    <row r="34" spans="1:9" x14ac:dyDescent="0.25">
      <c r="A34" s="202" t="s">
        <v>528</v>
      </c>
      <c r="B34" s="202"/>
      <c r="C34" s="202"/>
      <c r="D34" s="202"/>
      <c r="E34" s="202"/>
      <c r="F34" s="202"/>
    </row>
    <row r="35" spans="1:9" x14ac:dyDescent="0.25">
      <c r="A35" s="206" t="s">
        <v>529</v>
      </c>
      <c r="B35" s="266">
        <f>B32/Conversions!$E$11*Conversions!$E$12/'SAGD Calculations'!B31/'SAGD Calculations'!$B$88</f>
        <v>474.93403693931401</v>
      </c>
      <c r="C35" s="266">
        <f>C32/Conversions!$E$11*Conversions!$E$12/'SAGD Calculations'!C31/'SAGD Calculations'!$B$88</f>
        <v>94.986807387862797</v>
      </c>
      <c r="D35" s="266">
        <f>D32/Conversions!$E$11*Conversions!$E$12/'SAGD Calculations'!D31/'SAGD Calculations'!$B$88</f>
        <v>949.86807387862802</v>
      </c>
      <c r="E35" s="202" t="s">
        <v>234</v>
      </c>
      <c r="F35" s="202"/>
    </row>
    <row r="36" spans="1:9" x14ac:dyDescent="0.25">
      <c r="A36" s="206" t="s">
        <v>533</v>
      </c>
      <c r="B36" s="266">
        <f>B35-B25</f>
        <v>469.93403693931401</v>
      </c>
      <c r="C36" s="266">
        <f>C35-C25</f>
        <v>49.986807387862797</v>
      </c>
      <c r="D36" s="266">
        <f>D35-D25</f>
        <v>829.86807387862802</v>
      </c>
      <c r="E36" s="202" t="s">
        <v>534</v>
      </c>
      <c r="F36" s="202"/>
    </row>
    <row r="37" spans="1:9" x14ac:dyDescent="0.25">
      <c r="A37" s="226" t="s">
        <v>244</v>
      </c>
      <c r="B37" s="221"/>
      <c r="C37" s="227"/>
      <c r="D37" s="227"/>
      <c r="E37" s="202"/>
      <c r="F37" s="202"/>
    </row>
    <row r="38" spans="1:9" x14ac:dyDescent="0.25">
      <c r="A38" s="206" t="s">
        <v>567</v>
      </c>
      <c r="B38" s="228">
        <v>0.3</v>
      </c>
      <c r="C38" s="228">
        <v>0.3</v>
      </c>
      <c r="D38" s="228">
        <v>0.3</v>
      </c>
      <c r="E38" s="202" t="s">
        <v>294</v>
      </c>
      <c r="F38" s="202" t="s">
        <v>479</v>
      </c>
    </row>
    <row r="39" spans="1:9" x14ac:dyDescent="0.25">
      <c r="A39" s="206" t="s">
        <v>295</v>
      </c>
      <c r="B39" s="228">
        <v>0.25</v>
      </c>
      <c r="C39" s="228">
        <v>0.25</v>
      </c>
      <c r="D39" s="228">
        <v>0.25</v>
      </c>
      <c r="E39" s="202" t="s">
        <v>294</v>
      </c>
      <c r="F39" s="202" t="s">
        <v>479</v>
      </c>
    </row>
    <row r="40" spans="1:9" x14ac:dyDescent="0.25">
      <c r="A40" s="206" t="s">
        <v>296</v>
      </c>
      <c r="B40" s="228">
        <v>0.5</v>
      </c>
      <c r="C40" s="228">
        <v>0.5</v>
      </c>
      <c r="D40" s="228">
        <v>0.5</v>
      </c>
      <c r="E40" s="202" t="s">
        <v>294</v>
      </c>
      <c r="F40" s="202" t="s">
        <v>479</v>
      </c>
    </row>
    <row r="41" spans="1:9" x14ac:dyDescent="0.25">
      <c r="A41" s="206" t="s">
        <v>567</v>
      </c>
      <c r="B41" s="202">
        <f>B38/(1-B38)</f>
        <v>0.4285714285714286</v>
      </c>
      <c r="C41" s="202">
        <f t="shared" ref="C41:D41" si="4">C38/(1-C38)</f>
        <v>0.4285714285714286</v>
      </c>
      <c r="D41" s="202">
        <f t="shared" si="4"/>
        <v>0.4285714285714286</v>
      </c>
      <c r="E41" s="202" t="s">
        <v>297</v>
      </c>
      <c r="F41" s="202"/>
    </row>
    <row r="42" spans="1:9" x14ac:dyDescent="0.25">
      <c r="A42" s="206" t="s">
        <v>298</v>
      </c>
      <c r="B42" s="202">
        <f>B39/(1-B39)</f>
        <v>0.33333333333333331</v>
      </c>
      <c r="C42" s="202">
        <f t="shared" ref="C42:D42" si="5">C39/(1-C39)</f>
        <v>0.33333333333333331</v>
      </c>
      <c r="D42" s="202">
        <f t="shared" si="5"/>
        <v>0.33333333333333331</v>
      </c>
      <c r="E42" s="202" t="s">
        <v>297</v>
      </c>
      <c r="F42" s="202"/>
      <c r="I42" s="202" t="s">
        <v>478</v>
      </c>
    </row>
    <row r="43" spans="1:9" x14ac:dyDescent="0.25">
      <c r="A43" s="206" t="s">
        <v>299</v>
      </c>
      <c r="B43" s="202">
        <f>B39/(1-B39)</f>
        <v>0.33333333333333331</v>
      </c>
      <c r="C43" s="202">
        <f t="shared" ref="C43:D43" si="6">C39/(1-C39)</f>
        <v>0.33333333333333331</v>
      </c>
      <c r="D43" s="202">
        <f t="shared" si="6"/>
        <v>0.33333333333333331</v>
      </c>
      <c r="E43" s="202" t="s">
        <v>300</v>
      </c>
      <c r="F43" s="202"/>
    </row>
    <row r="44" spans="1:9" x14ac:dyDescent="0.25">
      <c r="A44" s="206" t="s">
        <v>296</v>
      </c>
      <c r="B44" s="202">
        <f>B40/(1-B40)</f>
        <v>1</v>
      </c>
      <c r="C44" s="202">
        <f t="shared" ref="C44:D44" si="7">C40/(1-C40)</f>
        <v>1</v>
      </c>
      <c r="D44" s="202">
        <f t="shared" si="7"/>
        <v>1</v>
      </c>
      <c r="E44" s="202" t="s">
        <v>301</v>
      </c>
      <c r="F44" s="202"/>
    </row>
    <row r="46" spans="1:9" x14ac:dyDescent="0.25">
      <c r="A46" s="173"/>
      <c r="B46" s="173"/>
      <c r="C46" s="173"/>
      <c r="D46" s="173"/>
      <c r="E46" s="173"/>
      <c r="F46" s="173"/>
    </row>
    <row r="47" spans="1:9" x14ac:dyDescent="0.25">
      <c r="A47" s="200" t="s">
        <v>225</v>
      </c>
    </row>
    <row r="48" spans="1:9" x14ac:dyDescent="0.25">
      <c r="A48" s="201" t="s">
        <v>226</v>
      </c>
      <c r="B48" s="201" t="s">
        <v>59</v>
      </c>
      <c r="C48" s="201" t="s">
        <v>227</v>
      </c>
      <c r="D48" s="201" t="s">
        <v>228</v>
      </c>
      <c r="E48" s="201" t="s">
        <v>71</v>
      </c>
    </row>
    <row r="49" spans="1:6" x14ac:dyDescent="0.25">
      <c r="A49" s="202" t="s">
        <v>229</v>
      </c>
      <c r="B49" s="231">
        <f>B4/$B$82</f>
        <v>2.5641025641025641E-3</v>
      </c>
      <c r="C49" s="231">
        <f>C4/$B$82</f>
        <v>2.1696252465483235E-3</v>
      </c>
      <c r="D49" s="231">
        <f>D4/$B$82</f>
        <v>3.2544378698224851E-3</v>
      </c>
      <c r="E49" s="202" t="s">
        <v>271</v>
      </c>
      <c r="F49" s="202" t="s">
        <v>479</v>
      </c>
    </row>
    <row r="50" spans="1:6" x14ac:dyDescent="0.25">
      <c r="A50" s="221" t="s">
        <v>231</v>
      </c>
      <c r="B50" s="231">
        <f>B5/$B$82/Conversions!$E$11</f>
        <v>7.3964497041420119E-5</v>
      </c>
      <c r="C50" s="231">
        <f>C5/$B$82/Conversions!$E$11</f>
        <v>4.4378698224852069E-5</v>
      </c>
      <c r="D50" s="231">
        <f>D5/$B$82/Conversions!$E$11</f>
        <v>1.1834319526627219E-4</v>
      </c>
      <c r="E50" s="202" t="s">
        <v>325</v>
      </c>
      <c r="F50" s="202" t="s">
        <v>479</v>
      </c>
    </row>
    <row r="51" spans="1:6" x14ac:dyDescent="0.25">
      <c r="A51" s="221" t="s">
        <v>233</v>
      </c>
      <c r="B51" s="231">
        <f>B6/$B$82</f>
        <v>4.9309664694280079E-3</v>
      </c>
      <c r="C51" s="231">
        <f>C6/$B$82</f>
        <v>9.8619329388560163E-4</v>
      </c>
      <c r="D51" s="231">
        <f>D6/$B$82</f>
        <v>1.1834319526627219E-2</v>
      </c>
      <c r="E51" s="202" t="s">
        <v>273</v>
      </c>
      <c r="F51" s="202" t="s">
        <v>479</v>
      </c>
    </row>
    <row r="52" spans="1:6" x14ac:dyDescent="0.25">
      <c r="A52" s="221" t="s">
        <v>235</v>
      </c>
      <c r="B52" s="231">
        <f>B7/$B$82/$B$89</f>
        <v>1.9723865877712034E-5</v>
      </c>
      <c r="C52" s="231">
        <f>C7/$B$82/$B$89</f>
        <v>1.1834319526627219E-5</v>
      </c>
      <c r="D52" s="231">
        <f>D7/$B$82/$B$89</f>
        <v>3.9447731755424067E-5</v>
      </c>
      <c r="E52" s="202" t="s">
        <v>318</v>
      </c>
      <c r="F52" s="202" t="s">
        <v>479</v>
      </c>
    </row>
    <row r="53" spans="1:6" x14ac:dyDescent="0.25">
      <c r="A53" s="221" t="s">
        <v>237</v>
      </c>
      <c r="B53" s="231">
        <f>B8/$B$82</f>
        <v>1.9723865877712034E-4</v>
      </c>
      <c r="C53" s="231">
        <f>C8/$B$82</f>
        <v>9.8619329388560168E-5</v>
      </c>
      <c r="D53" s="231">
        <f>D8/$B$82</f>
        <v>5.9171597633136095E-4</v>
      </c>
      <c r="E53" s="202" t="s">
        <v>274</v>
      </c>
      <c r="F53" s="202" t="s">
        <v>479</v>
      </c>
    </row>
    <row r="54" spans="1:6" x14ac:dyDescent="0.25">
      <c r="A54" s="221" t="s">
        <v>238</v>
      </c>
      <c r="B54" s="208">
        <v>0.8</v>
      </c>
      <c r="C54" s="208">
        <v>0.8</v>
      </c>
      <c r="D54" s="208">
        <v>0.8</v>
      </c>
      <c r="E54" s="202" t="s">
        <v>240</v>
      </c>
      <c r="F54" s="202" t="s">
        <v>479</v>
      </c>
    </row>
    <row r="55" spans="1:6" x14ac:dyDescent="0.25">
      <c r="A55" s="221" t="s">
        <v>313</v>
      </c>
      <c r="B55" s="208">
        <v>1</v>
      </c>
      <c r="C55" s="208">
        <v>1</v>
      </c>
      <c r="D55" s="208">
        <v>1</v>
      </c>
      <c r="E55" s="202" t="s">
        <v>240</v>
      </c>
      <c r="F55" s="202" t="s">
        <v>479</v>
      </c>
    </row>
    <row r="56" spans="1:6" x14ac:dyDescent="0.25">
      <c r="A56" s="221" t="s">
        <v>241</v>
      </c>
      <c r="B56" s="207">
        <v>150</v>
      </c>
      <c r="C56" s="207">
        <v>100</v>
      </c>
      <c r="D56" s="207">
        <v>200</v>
      </c>
      <c r="E56" s="202" t="s">
        <v>242</v>
      </c>
      <c r="F56" s="202" t="s">
        <v>479</v>
      </c>
    </row>
    <row r="57" spans="1:6" x14ac:dyDescent="0.25">
      <c r="A57" s="221" t="s">
        <v>243</v>
      </c>
      <c r="B57" s="207">
        <f>B105/$B$82*$D$87</f>
        <v>0.12719022903186139</v>
      </c>
      <c r="C57" s="207">
        <f t="shared" ref="C57:D57" si="8">C105/$B$82*$D$87</f>
        <v>8.9520976601721758E-2</v>
      </c>
      <c r="D57" s="207">
        <f t="shared" si="8"/>
        <v>0.1844009659893506</v>
      </c>
      <c r="E57" s="202" t="s">
        <v>316</v>
      </c>
      <c r="F57" s="202" t="s">
        <v>479</v>
      </c>
    </row>
    <row r="58" spans="1:6" x14ac:dyDescent="0.25">
      <c r="A58" s="246" t="s">
        <v>244</v>
      </c>
      <c r="B58" s="231"/>
      <c r="C58" s="232"/>
      <c r="D58" s="232"/>
      <c r="E58" s="202"/>
      <c r="F58" s="202"/>
    </row>
    <row r="59" spans="1:6" x14ac:dyDescent="0.25">
      <c r="A59" s="247" t="s">
        <v>567</v>
      </c>
      <c r="B59" s="231">
        <f t="shared" ref="B59:D60" si="9">B17/$B$82*$D$85</f>
        <v>0.32340957310835433</v>
      </c>
      <c r="C59" s="231">
        <f t="shared" si="9"/>
        <v>0.32340957310835433</v>
      </c>
      <c r="D59" s="231">
        <f t="shared" si="9"/>
        <v>0.32340957310835433</v>
      </c>
      <c r="E59" s="202" t="s">
        <v>315</v>
      </c>
      <c r="F59" s="202"/>
    </row>
    <row r="60" spans="1:6" x14ac:dyDescent="0.25">
      <c r="A60" s="247" t="s">
        <v>298</v>
      </c>
      <c r="B60" s="231">
        <f t="shared" si="9"/>
        <v>0.25154077908427552</v>
      </c>
      <c r="C60" s="231">
        <f t="shared" si="9"/>
        <v>0.25154077908427552</v>
      </c>
      <c r="D60" s="231">
        <f t="shared" si="9"/>
        <v>0.25154077908427552</v>
      </c>
      <c r="E60" s="202" t="s">
        <v>315</v>
      </c>
      <c r="F60" s="202"/>
    </row>
    <row r="61" spans="1:6" x14ac:dyDescent="0.25">
      <c r="A61" s="247" t="s">
        <v>299</v>
      </c>
      <c r="B61" s="231">
        <f>B19/$B$82*$D$84</f>
        <v>0.17825132738415958</v>
      </c>
      <c r="C61" s="231">
        <f>C19/$B$82*$D$84</f>
        <v>0.17825132738415958</v>
      </c>
      <c r="D61" s="231">
        <f>D19/$B$82*$D$84</f>
        <v>0.17825132738415958</v>
      </c>
      <c r="E61" s="202" t="s">
        <v>338</v>
      </c>
      <c r="F61" s="202"/>
    </row>
    <row r="62" spans="1:6" x14ac:dyDescent="0.25">
      <c r="A62" s="247" t="s">
        <v>296</v>
      </c>
      <c r="B62" s="231">
        <f>B20/$B$82*$B$83</f>
        <v>0.88362919132149909</v>
      </c>
      <c r="C62" s="231">
        <f>C20/$B$82*$B$83</f>
        <v>0.88362919132149909</v>
      </c>
      <c r="D62" s="231">
        <f>D20/$B$82*$B$83</f>
        <v>0.88362919132149909</v>
      </c>
      <c r="E62" s="202" t="s">
        <v>339</v>
      </c>
      <c r="F62" s="202"/>
    </row>
    <row r="63" spans="1:6" x14ac:dyDescent="0.25">
      <c r="A63" s="221"/>
      <c r="B63" s="207"/>
      <c r="C63" s="209"/>
      <c r="D63" s="209"/>
      <c r="E63" s="202"/>
      <c r="F63" s="202"/>
    </row>
    <row r="64" spans="1:6" x14ac:dyDescent="0.25">
      <c r="A64" s="248" t="s">
        <v>245</v>
      </c>
      <c r="F64" s="202"/>
    </row>
    <row r="65" spans="1:9" x14ac:dyDescent="0.25">
      <c r="A65" s="249" t="s">
        <v>226</v>
      </c>
      <c r="B65" s="201" t="s">
        <v>59</v>
      </c>
      <c r="C65" s="201" t="s">
        <v>227</v>
      </c>
      <c r="D65" s="201" t="s">
        <v>228</v>
      </c>
      <c r="E65" s="201" t="s">
        <v>71</v>
      </c>
      <c r="F65" s="202"/>
    </row>
    <row r="66" spans="1:9" x14ac:dyDescent="0.25">
      <c r="A66" s="221" t="s">
        <v>229</v>
      </c>
      <c r="B66" s="231">
        <f t="shared" ref="B66:D67" si="10">B24/$B$82</f>
        <v>2.5641025641025641E-3</v>
      </c>
      <c r="C66" s="231">
        <f t="shared" si="10"/>
        <v>2.1696252465483235E-3</v>
      </c>
      <c r="D66" s="231">
        <f t="shared" si="10"/>
        <v>3.2544378698224851E-3</v>
      </c>
      <c r="E66" s="202" t="s">
        <v>271</v>
      </c>
      <c r="F66" s="202" t="s">
        <v>479</v>
      </c>
    </row>
    <row r="67" spans="1:9" x14ac:dyDescent="0.25">
      <c r="A67" s="221" t="s">
        <v>233</v>
      </c>
      <c r="B67" s="231">
        <f t="shared" si="10"/>
        <v>4.9309664694280079E-3</v>
      </c>
      <c r="C67" s="231">
        <f t="shared" si="10"/>
        <v>4.4378698224852069E-2</v>
      </c>
      <c r="D67" s="231">
        <f t="shared" si="10"/>
        <v>0.11834319526627218</v>
      </c>
      <c r="E67" s="202" t="s">
        <v>273</v>
      </c>
      <c r="F67" s="202" t="s">
        <v>479</v>
      </c>
    </row>
    <row r="68" spans="1:9" x14ac:dyDescent="0.25">
      <c r="A68" s="221" t="s">
        <v>235</v>
      </c>
      <c r="B68" s="231">
        <f>B26/$B$82/$B$89</f>
        <v>1.9723865877712034E-5</v>
      </c>
      <c r="C68" s="231">
        <f>C26/$B$82/$B$89</f>
        <v>1.1834319526627219E-5</v>
      </c>
      <c r="D68" s="231">
        <f>D26/$B$82/$B$89</f>
        <v>3.9447731755424067E-5</v>
      </c>
      <c r="E68" s="202" t="s">
        <v>318</v>
      </c>
      <c r="F68" s="202" t="s">
        <v>479</v>
      </c>
    </row>
    <row r="69" spans="1:9" x14ac:dyDescent="0.25">
      <c r="A69" s="221" t="s">
        <v>237</v>
      </c>
      <c r="B69" s="231">
        <f>B27/$B$82</f>
        <v>1.9723865877712034E-4</v>
      </c>
      <c r="C69" s="231">
        <f>C27/$B$82</f>
        <v>9.8619329388560168E-5</v>
      </c>
      <c r="D69" s="231">
        <f>D27/$B$82</f>
        <v>5.9171597633136095E-4</v>
      </c>
      <c r="E69" s="202" t="s">
        <v>274</v>
      </c>
      <c r="F69" s="202" t="s">
        <v>479</v>
      </c>
    </row>
    <row r="70" spans="1:9" x14ac:dyDescent="0.25">
      <c r="A70" s="221" t="s">
        <v>238</v>
      </c>
      <c r="B70" s="208">
        <v>0.8</v>
      </c>
      <c r="C70" s="208">
        <v>0.8</v>
      </c>
      <c r="D70" s="208">
        <v>0.8</v>
      </c>
      <c r="E70" s="202" t="s">
        <v>240</v>
      </c>
      <c r="F70" s="202" t="s">
        <v>479</v>
      </c>
    </row>
    <row r="71" spans="1:9" x14ac:dyDescent="0.25">
      <c r="A71" s="221" t="s">
        <v>313</v>
      </c>
      <c r="B71" s="208">
        <v>1</v>
      </c>
      <c r="C71" s="208">
        <v>1</v>
      </c>
      <c r="D71" s="208">
        <v>1</v>
      </c>
      <c r="E71" s="202" t="s">
        <v>240</v>
      </c>
      <c r="F71" s="202" t="s">
        <v>479</v>
      </c>
    </row>
    <row r="72" spans="1:9" x14ac:dyDescent="0.25">
      <c r="A72" s="221" t="s">
        <v>241</v>
      </c>
      <c r="B72" s="207">
        <v>150</v>
      </c>
      <c r="C72" s="207">
        <v>100</v>
      </c>
      <c r="D72" s="207">
        <v>200</v>
      </c>
      <c r="E72" s="202" t="s">
        <v>242</v>
      </c>
      <c r="F72" s="202" t="s">
        <v>479</v>
      </c>
    </row>
    <row r="73" spans="1:9" x14ac:dyDescent="0.25">
      <c r="A73" s="221" t="s">
        <v>243</v>
      </c>
      <c r="B73" s="207">
        <f>B36/$B$82*$D$87</f>
        <v>0.31179525306159145</v>
      </c>
      <c r="C73" s="207">
        <f t="shared" ref="C73:D73" si="11">C36/$B$82*$D$87</f>
        <v>3.3165610562599868E-2</v>
      </c>
      <c r="D73" s="207">
        <f t="shared" si="11"/>
        <v>0.55060690599888684</v>
      </c>
      <c r="E73" s="202" t="s">
        <v>273</v>
      </c>
      <c r="F73" s="202" t="s">
        <v>479</v>
      </c>
    </row>
    <row r="74" spans="1:9" x14ac:dyDescent="0.25">
      <c r="A74" s="221" t="s">
        <v>246</v>
      </c>
      <c r="B74" s="231">
        <f>B33/$B$82/Conversions!$E$11</f>
        <v>1.4053254437869822E-3</v>
      </c>
      <c r="C74" s="231">
        <f>C33/$B$82/Conversions!$E$11</f>
        <v>1.7751479289940828E-4</v>
      </c>
      <c r="D74" s="231">
        <f>D33/$B$82/Conversions!$E$11</f>
        <v>2.9142011834319527E-3</v>
      </c>
      <c r="E74" s="202" t="s">
        <v>325</v>
      </c>
      <c r="F74" s="202" t="s">
        <v>479</v>
      </c>
    </row>
    <row r="75" spans="1:9" x14ac:dyDescent="0.25">
      <c r="A75" s="246" t="s">
        <v>244</v>
      </c>
      <c r="B75" s="231"/>
      <c r="C75" s="232"/>
      <c r="D75" s="232"/>
      <c r="E75" s="202"/>
      <c r="F75" s="202"/>
    </row>
    <row r="76" spans="1:9" x14ac:dyDescent="0.25">
      <c r="A76" s="247" t="s">
        <v>567</v>
      </c>
      <c r="B76" s="231">
        <f t="shared" ref="B76:D77" si="12">B41/$B$82*$D$85</f>
        <v>0.32340957310835433</v>
      </c>
      <c r="C76" s="231">
        <f t="shared" si="12"/>
        <v>0.32340957310835433</v>
      </c>
      <c r="D76" s="231">
        <f t="shared" si="12"/>
        <v>0.32340957310835433</v>
      </c>
      <c r="E76" s="202" t="s">
        <v>315</v>
      </c>
      <c r="F76" s="202"/>
    </row>
    <row r="77" spans="1:9" x14ac:dyDescent="0.25">
      <c r="A77" s="247" t="s">
        <v>298</v>
      </c>
      <c r="B77" s="231">
        <f t="shared" si="12"/>
        <v>0.25154077908427552</v>
      </c>
      <c r="C77" s="231">
        <f t="shared" si="12"/>
        <v>0.25154077908427552</v>
      </c>
      <c r="D77" s="231">
        <f t="shared" si="12"/>
        <v>0.25154077908427552</v>
      </c>
      <c r="E77" s="202" t="s">
        <v>315</v>
      </c>
      <c r="F77" s="202"/>
    </row>
    <row r="78" spans="1:9" x14ac:dyDescent="0.25">
      <c r="A78" s="247" t="s">
        <v>299</v>
      </c>
      <c r="B78" s="231">
        <f>B43/$B$82*$D$84</f>
        <v>0.17825132738415958</v>
      </c>
      <c r="C78" s="231">
        <f>C43/$B$82*$D$84</f>
        <v>0.17825132738415958</v>
      </c>
      <c r="D78" s="231">
        <f>D43/$B$82*$D$84</f>
        <v>0.17825132738415958</v>
      </c>
      <c r="E78" s="202" t="s">
        <v>338</v>
      </c>
      <c r="F78" s="202"/>
    </row>
    <row r="79" spans="1:9" x14ac:dyDescent="0.25">
      <c r="A79" s="247" t="s">
        <v>296</v>
      </c>
      <c r="B79" s="231">
        <f>B44/$B$82*$B$83</f>
        <v>0.88362919132149909</v>
      </c>
      <c r="C79" s="231">
        <f>C44/$B$82*$B$83</f>
        <v>0.88362919132149909</v>
      </c>
      <c r="D79" s="231">
        <f>D44/$B$82*$B$83</f>
        <v>0.88362919132149909</v>
      </c>
      <c r="E79" s="202" t="s">
        <v>339</v>
      </c>
      <c r="F79" s="202"/>
      <c r="I79" s="202" t="s">
        <v>478</v>
      </c>
    </row>
    <row r="80" spans="1:9" x14ac:dyDescent="0.25">
      <c r="A80" s="260"/>
      <c r="B80" s="261"/>
      <c r="C80" s="261"/>
      <c r="D80" s="261"/>
      <c r="E80" s="261"/>
      <c r="F80" s="261"/>
    </row>
    <row r="81" spans="1:10" x14ac:dyDescent="0.25">
      <c r="A81" s="201" t="s">
        <v>337</v>
      </c>
    </row>
    <row r="82" spans="1:10" x14ac:dyDescent="0.25">
      <c r="A82" s="229" t="s">
        <v>302</v>
      </c>
      <c r="B82" s="202">
        <v>1014</v>
      </c>
      <c r="C82" t="s">
        <v>308</v>
      </c>
    </row>
    <row r="83" spans="1:10" x14ac:dyDescent="0.25">
      <c r="A83" s="229" t="s">
        <v>303</v>
      </c>
      <c r="B83" s="202">
        <v>896</v>
      </c>
      <c r="C83" t="s">
        <v>308</v>
      </c>
      <c r="F83" s="202" t="s">
        <v>479</v>
      </c>
    </row>
    <row r="84" spans="1:10" x14ac:dyDescent="0.25">
      <c r="A84" s="229" t="s">
        <v>304</v>
      </c>
      <c r="B84">
        <f>1/1844.2</f>
        <v>5.4224053790261355E-4</v>
      </c>
      <c r="C84" t="s">
        <v>309</v>
      </c>
      <c r="D84" s="233">
        <f>B84*Conversions!$E$7*Conversions!$E$8</f>
        <v>542.24053790261348</v>
      </c>
      <c r="E84" t="s">
        <v>308</v>
      </c>
      <c r="F84" s="221" t="s">
        <v>481</v>
      </c>
    </row>
    <row r="85" spans="1:10" x14ac:dyDescent="0.25">
      <c r="A85" s="229" t="s">
        <v>305</v>
      </c>
      <c r="B85">
        <f>1/1306.87</f>
        <v>7.651870499743663E-4</v>
      </c>
      <c r="C85" t="s">
        <v>309</v>
      </c>
      <c r="D85" s="233">
        <f>B85*Conversions!$E$7*Conversions!$E$8</f>
        <v>765.18704997436623</v>
      </c>
      <c r="E85" t="s">
        <v>308</v>
      </c>
      <c r="F85" s="221" t="s">
        <v>481</v>
      </c>
    </row>
    <row r="86" spans="1:10" x14ac:dyDescent="0.25">
      <c r="A86" s="229" t="s">
        <v>306</v>
      </c>
      <c r="B86">
        <f>1/1186.04</f>
        <v>8.4314188391622542E-4</v>
      </c>
      <c r="C86" t="s">
        <v>309</v>
      </c>
      <c r="D86" s="233">
        <f>B86*Conversions!$E$7*Conversions!$E$8</f>
        <v>843.14188391622542</v>
      </c>
      <c r="E86" t="s">
        <v>308</v>
      </c>
      <c r="F86" s="221" t="s">
        <v>481</v>
      </c>
      <c r="J86" s="221" t="s">
        <v>481</v>
      </c>
    </row>
    <row r="87" spans="1:10" x14ac:dyDescent="0.25">
      <c r="A87" s="229" t="s">
        <v>307</v>
      </c>
      <c r="B87">
        <v>4.2000000000000003E-2</v>
      </c>
      <c r="C87" t="s">
        <v>310</v>
      </c>
      <c r="D87" s="234">
        <f>B87/Conversions!$E$9*Conversions!$E$10</f>
        <v>0.67277609569123809</v>
      </c>
      <c r="E87" t="s">
        <v>308</v>
      </c>
      <c r="F87" s="221" t="s">
        <v>481</v>
      </c>
    </row>
    <row r="88" spans="1:10" x14ac:dyDescent="0.25">
      <c r="A88" s="229" t="s">
        <v>255</v>
      </c>
      <c r="B88">
        <v>37.9</v>
      </c>
      <c r="C88" t="s">
        <v>531</v>
      </c>
      <c r="F88" s="202" t="s">
        <v>478</v>
      </c>
    </row>
    <row r="89" spans="1:10" x14ac:dyDescent="0.25">
      <c r="A89" s="201" t="s">
        <v>317</v>
      </c>
      <c r="B89">
        <v>25</v>
      </c>
    </row>
    <row r="90" spans="1:10" x14ac:dyDescent="0.25">
      <c r="A90" s="261"/>
      <c r="B90" s="261"/>
      <c r="C90" s="261"/>
      <c r="D90" s="261"/>
      <c r="E90" s="261"/>
      <c r="F90" s="261"/>
    </row>
    <row r="92" spans="1:10" x14ac:dyDescent="0.25">
      <c r="A92" s="200" t="s">
        <v>247</v>
      </c>
      <c r="B92" t="s">
        <v>326</v>
      </c>
      <c r="C92" t="s">
        <v>443</v>
      </c>
      <c r="D92" t="s">
        <v>444</v>
      </c>
    </row>
    <row r="93" spans="1:10" x14ac:dyDescent="0.25">
      <c r="A93" s="204" t="s">
        <v>427</v>
      </c>
      <c r="B93" s="199">
        <f>B4</f>
        <v>2.6</v>
      </c>
      <c r="C93" s="199">
        <f>C4</f>
        <v>2.2000000000000002</v>
      </c>
      <c r="D93" s="199">
        <f>D4</f>
        <v>3.3</v>
      </c>
      <c r="E93" s="202" t="s">
        <v>230</v>
      </c>
      <c r="F93" s="202" t="s">
        <v>479</v>
      </c>
    </row>
    <row r="94" spans="1:10" x14ac:dyDescent="0.25">
      <c r="A94" t="s">
        <v>248</v>
      </c>
      <c r="B94" s="205">
        <v>0.8</v>
      </c>
      <c r="C94" s="205">
        <v>0.8</v>
      </c>
      <c r="D94" s="205">
        <v>0.8</v>
      </c>
      <c r="F94" s="202" t="s">
        <v>479</v>
      </c>
    </row>
    <row r="95" spans="1:10" x14ac:dyDescent="0.25">
      <c r="A95" t="s">
        <v>311</v>
      </c>
      <c r="B95">
        <f>B93/B94</f>
        <v>3.25</v>
      </c>
      <c r="C95">
        <f t="shared" ref="C95:D95" si="13">C93/C94</f>
        <v>2.75</v>
      </c>
      <c r="D95">
        <f t="shared" si="13"/>
        <v>4.1249999999999991</v>
      </c>
      <c r="E95" s="202" t="s">
        <v>250</v>
      </c>
      <c r="F95" s="202" t="s">
        <v>479</v>
      </c>
    </row>
    <row r="96" spans="1:10" x14ac:dyDescent="0.25">
      <c r="A96" t="s">
        <v>251</v>
      </c>
      <c r="B96">
        <f>B56*$D$110+$D$111</f>
        <v>639.36518181818178</v>
      </c>
      <c r="C96">
        <f>D56*$D$110+$D$111</f>
        <v>854.22290909090896</v>
      </c>
      <c r="D96">
        <f>C56*$D$110+$D$111</f>
        <v>424.50745454545444</v>
      </c>
      <c r="E96" t="s">
        <v>252</v>
      </c>
      <c r="F96" s="202" t="s">
        <v>479</v>
      </c>
    </row>
    <row r="97" spans="1:9" x14ac:dyDescent="0.25">
      <c r="A97" t="s">
        <v>253</v>
      </c>
      <c r="B97">
        <v>2472</v>
      </c>
      <c r="C97">
        <v>2472</v>
      </c>
      <c r="D97">
        <v>2472</v>
      </c>
      <c r="E97" t="s">
        <v>436</v>
      </c>
      <c r="F97" s="202" t="s">
        <v>479</v>
      </c>
    </row>
    <row r="98" spans="1:9" x14ac:dyDescent="0.25">
      <c r="A98" t="s">
        <v>254</v>
      </c>
      <c r="B98">
        <f>B97-B96</f>
        <v>1832.6348181818182</v>
      </c>
      <c r="C98">
        <f t="shared" ref="C98:D98" si="14">C97-C96</f>
        <v>1617.7770909090909</v>
      </c>
      <c r="D98">
        <f t="shared" si="14"/>
        <v>2047.4925454545455</v>
      </c>
      <c r="E98" t="s">
        <v>252</v>
      </c>
      <c r="F98" s="202" t="s">
        <v>479</v>
      </c>
    </row>
    <row r="99" spans="1:9" x14ac:dyDescent="0.25">
      <c r="A99" t="s">
        <v>255</v>
      </c>
      <c r="B99">
        <v>37850</v>
      </c>
      <c r="C99">
        <v>37850</v>
      </c>
      <c r="D99">
        <v>37850</v>
      </c>
      <c r="E99" t="s">
        <v>256</v>
      </c>
      <c r="F99" s="202" t="s">
        <v>479</v>
      </c>
    </row>
    <row r="100" spans="1:9" x14ac:dyDescent="0.25">
      <c r="A100" t="s">
        <v>312</v>
      </c>
      <c r="B100" s="205">
        <v>0.8</v>
      </c>
      <c r="C100" s="205">
        <v>0.8</v>
      </c>
      <c r="D100" s="205">
        <v>0.8</v>
      </c>
      <c r="E100" t="s">
        <v>240</v>
      </c>
      <c r="F100" s="202" t="s">
        <v>479</v>
      </c>
    </row>
    <row r="101" spans="1:9" x14ac:dyDescent="0.25">
      <c r="A101" t="s">
        <v>257</v>
      </c>
      <c r="B101" s="230">
        <f>B95*1000*B98/B99/B100</f>
        <v>196.69957592770504</v>
      </c>
      <c r="C101" s="230">
        <f t="shared" ref="C101:D101" si="15">C95*1000*C98/C99/C100</f>
        <v>146.92493394980184</v>
      </c>
      <c r="D101" s="230">
        <f t="shared" si="15"/>
        <v>278.92690719947154</v>
      </c>
      <c r="E101" t="s">
        <v>234</v>
      </c>
      <c r="F101" s="202" t="s">
        <v>479</v>
      </c>
    </row>
    <row r="102" spans="1:9" x14ac:dyDescent="0.25">
      <c r="A102" s="200" t="s">
        <v>258</v>
      </c>
      <c r="B102" t="s">
        <v>133</v>
      </c>
    </row>
    <row r="103" spans="1:9" x14ac:dyDescent="0.25">
      <c r="A103" s="204" t="s">
        <v>259</v>
      </c>
      <c r="B103" s="206">
        <f>B6</f>
        <v>5</v>
      </c>
      <c r="C103">
        <f>D6</f>
        <v>12</v>
      </c>
      <c r="D103">
        <f>C6</f>
        <v>1</v>
      </c>
      <c r="E103" s="204" t="s">
        <v>234</v>
      </c>
      <c r="F103" t="s">
        <v>525</v>
      </c>
    </row>
    <row r="104" spans="1:9" x14ac:dyDescent="0.25">
      <c r="A104" s="204" t="s">
        <v>260</v>
      </c>
      <c r="B104" s="235">
        <f>B101</f>
        <v>196.69957592770504</v>
      </c>
      <c r="C104" s="235">
        <f t="shared" ref="C104:D104" si="16">C101</f>
        <v>146.92493394980184</v>
      </c>
      <c r="D104" s="235">
        <f t="shared" si="16"/>
        <v>278.92690719947154</v>
      </c>
      <c r="E104" s="204" t="s">
        <v>234</v>
      </c>
    </row>
    <row r="105" spans="1:9" x14ac:dyDescent="0.25">
      <c r="A105" s="204" t="s">
        <v>261</v>
      </c>
      <c r="B105" s="235">
        <f>B104-B103</f>
        <v>191.69957592770504</v>
      </c>
      <c r="C105" s="235">
        <f t="shared" ref="C105:D105" si="17">C104-C103</f>
        <v>134.92493394980184</v>
      </c>
      <c r="D105" s="235">
        <f t="shared" si="17"/>
        <v>277.92690719947154</v>
      </c>
      <c r="E105" s="204" t="s">
        <v>234</v>
      </c>
    </row>
    <row r="106" spans="1:9" x14ac:dyDescent="0.25">
      <c r="A106" s="204"/>
      <c r="B106" s="204"/>
      <c r="C106" s="204"/>
    </row>
    <row r="107" spans="1:9" x14ac:dyDescent="0.25">
      <c r="I107" t="s">
        <v>483</v>
      </c>
    </row>
    <row r="108" spans="1:9" x14ac:dyDescent="0.25">
      <c r="A108" s="200" t="s">
        <v>262</v>
      </c>
    </row>
    <row r="109" spans="1:9" ht="18" x14ac:dyDescent="0.35">
      <c r="A109" s="202" t="s">
        <v>263</v>
      </c>
      <c r="B109" s="202" t="s">
        <v>269</v>
      </c>
      <c r="F109" s="204" t="s">
        <v>482</v>
      </c>
    </row>
    <row r="110" spans="1:9" x14ac:dyDescent="0.25">
      <c r="A110" s="202">
        <v>100</v>
      </c>
      <c r="B110" s="242">
        <v>424.36</v>
      </c>
      <c r="C110" t="s">
        <v>439</v>
      </c>
      <c r="D110">
        <f>SLOPE(B110:B120,A110:A120)</f>
        <v>4.2971545454545454</v>
      </c>
      <c r="F110" s="204" t="s">
        <v>482</v>
      </c>
    </row>
    <row r="111" spans="1:9" x14ac:dyDescent="0.25">
      <c r="A111" s="202">
        <v>110</v>
      </c>
      <c r="B111" s="242">
        <v>466.41</v>
      </c>
      <c r="C111" t="s">
        <v>440</v>
      </c>
      <c r="D111">
        <f>INTERCEPT(B110:B119,A110:A119)</f>
        <v>-5.2080000000000837</v>
      </c>
      <c r="F111" s="204" t="s">
        <v>482</v>
      </c>
    </row>
    <row r="112" spans="1:9" x14ac:dyDescent="0.25">
      <c r="A112" s="202">
        <v>120</v>
      </c>
      <c r="B112" s="242">
        <v>508.61</v>
      </c>
      <c r="F112" s="204" t="s">
        <v>482</v>
      </c>
    </row>
    <row r="113" spans="1:9" x14ac:dyDescent="0.25">
      <c r="A113" s="202">
        <v>130</v>
      </c>
      <c r="B113" s="242">
        <v>550.95000000000005</v>
      </c>
      <c r="F113" s="204" t="s">
        <v>482</v>
      </c>
    </row>
    <row r="114" spans="1:9" x14ac:dyDescent="0.25">
      <c r="A114" s="202">
        <v>140</v>
      </c>
      <c r="B114" s="242">
        <v>593.48</v>
      </c>
      <c r="F114" s="204" t="s">
        <v>482</v>
      </c>
    </row>
    <row r="115" spans="1:9" x14ac:dyDescent="0.25">
      <c r="A115" s="202">
        <v>150</v>
      </c>
      <c r="B115" s="242">
        <v>636.23</v>
      </c>
      <c r="F115" s="204" t="s">
        <v>482</v>
      </c>
    </row>
    <row r="116" spans="1:9" x14ac:dyDescent="0.25">
      <c r="A116" s="202">
        <v>160</v>
      </c>
      <c r="B116" s="242">
        <v>679.22</v>
      </c>
      <c r="F116" s="204" t="s">
        <v>482</v>
      </c>
    </row>
    <row r="117" spans="1:9" x14ac:dyDescent="0.25">
      <c r="A117" s="202">
        <v>170</v>
      </c>
      <c r="B117" s="242">
        <v>722.51</v>
      </c>
      <c r="F117" s="204" t="s">
        <v>482</v>
      </c>
    </row>
    <row r="118" spans="1:9" x14ac:dyDescent="0.25">
      <c r="A118" s="202">
        <v>180</v>
      </c>
      <c r="B118" s="242">
        <v>766.11</v>
      </c>
      <c r="F118" s="204" t="s">
        <v>482</v>
      </c>
      <c r="I118" t="s">
        <v>292</v>
      </c>
    </row>
    <row r="119" spans="1:9" x14ac:dyDescent="0.25">
      <c r="A119" s="202">
        <v>190</v>
      </c>
      <c r="B119" s="242">
        <v>810.1</v>
      </c>
      <c r="F119" s="204" t="s">
        <v>482</v>
      </c>
    </row>
    <row r="120" spans="1:9" x14ac:dyDescent="0.25">
      <c r="A120" s="202">
        <v>200</v>
      </c>
      <c r="B120" s="243">
        <v>854.51</v>
      </c>
      <c r="F120" s="204" t="s">
        <v>482</v>
      </c>
    </row>
    <row r="121" spans="1:9" x14ac:dyDescent="0.25">
      <c r="A121" s="202"/>
    </row>
    <row r="123" spans="1:9" x14ac:dyDescent="0.25">
      <c r="A123" s="202" t="s">
        <v>478</v>
      </c>
      <c r="G123" s="202" t="s">
        <v>478</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20"/>
  <sheetViews>
    <sheetView topLeftCell="A40" zoomScaleNormal="100" workbookViewId="0">
      <selection activeCell="B72" sqref="B72:D72"/>
    </sheetView>
  </sheetViews>
  <sheetFormatPr defaultRowHeight="15" x14ac:dyDescent="0.25"/>
  <cols>
    <col min="1" max="1" width="44.28515625" style="180" bestFit="1" customWidth="1"/>
    <col min="2" max="2" width="25.7109375" style="180" customWidth="1"/>
    <col min="3" max="3" width="31.140625" style="180" bestFit="1" customWidth="1"/>
    <col min="4" max="4" width="22.85546875" style="180" customWidth="1"/>
    <col min="5" max="5" width="38" style="180" bestFit="1" customWidth="1"/>
    <col min="6" max="6" width="22.28515625" style="180" customWidth="1"/>
    <col min="7" max="7" width="14.5703125" style="180" bestFit="1" customWidth="1"/>
    <col min="8" max="8" width="9.140625" style="197" customWidth="1"/>
    <col min="9" max="9" width="19" style="197"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1" s="11" customFormat="1" ht="20.25" x14ac:dyDescent="0.3">
      <c r="H1" s="198" t="s">
        <v>264</v>
      </c>
      <c r="I1" s="176"/>
    </row>
    <row r="2" spans="1:21" s="179" customFormat="1" ht="18" customHeight="1" x14ac:dyDescent="0.25">
      <c r="A2" s="200" t="s">
        <v>225</v>
      </c>
      <c r="B2"/>
      <c r="C2"/>
      <c r="D2"/>
      <c r="E2"/>
      <c r="F2"/>
      <c r="G2" s="178"/>
      <c r="H2" s="178"/>
      <c r="I2" s="177"/>
    </row>
    <row r="3" spans="1:21" s="179" customFormat="1" x14ac:dyDescent="0.25">
      <c r="A3" s="201" t="s">
        <v>226</v>
      </c>
      <c r="B3" s="201" t="s">
        <v>59</v>
      </c>
      <c r="C3" s="201" t="s">
        <v>227</v>
      </c>
      <c r="D3" s="201" t="s">
        <v>228</v>
      </c>
      <c r="E3" s="201" t="s">
        <v>270</v>
      </c>
      <c r="F3" s="201" t="s">
        <v>221</v>
      </c>
      <c r="H3" s="196"/>
      <c r="I3" s="196"/>
    </row>
    <row r="4" spans="1:21" s="179" customFormat="1" x14ac:dyDescent="0.25">
      <c r="A4" s="202" t="s">
        <v>229</v>
      </c>
      <c r="B4" s="202">
        <v>3.5</v>
      </c>
      <c r="C4" s="202">
        <v>2.6</v>
      </c>
      <c r="D4" s="202">
        <v>5.9</v>
      </c>
      <c r="E4" s="202" t="s">
        <v>230</v>
      </c>
      <c r="F4" s="202" t="s">
        <v>483</v>
      </c>
      <c r="G4" s="196"/>
      <c r="H4" s="196"/>
      <c r="I4" s="196"/>
    </row>
    <row r="5" spans="1:21" x14ac:dyDescent="0.25">
      <c r="A5" s="202" t="s">
        <v>231</v>
      </c>
      <c r="B5" s="202">
        <v>91</v>
      </c>
      <c r="C5" s="202">
        <v>87</v>
      </c>
      <c r="D5" s="202">
        <v>99</v>
      </c>
      <c r="E5" s="202" t="s">
        <v>232</v>
      </c>
      <c r="F5" s="202" t="s">
        <v>483</v>
      </c>
      <c r="G5" s="199"/>
      <c r="H5" s="199"/>
    </row>
    <row r="6" spans="1:21" x14ac:dyDescent="0.25">
      <c r="A6" s="202" t="s">
        <v>233</v>
      </c>
      <c r="B6" s="202">
        <v>51.4</v>
      </c>
      <c r="C6" s="202">
        <v>29.2</v>
      </c>
      <c r="D6" s="202">
        <v>86.6</v>
      </c>
      <c r="E6" s="202" t="s">
        <v>234</v>
      </c>
      <c r="F6" s="202" t="s">
        <v>483</v>
      </c>
    </row>
    <row r="7" spans="1:21" x14ac:dyDescent="0.25">
      <c r="A7" s="202" t="s">
        <v>235</v>
      </c>
      <c r="B7" s="202">
        <v>1.4</v>
      </c>
      <c r="C7" s="202">
        <v>0</v>
      </c>
      <c r="D7" s="202">
        <v>1.4</v>
      </c>
      <c r="E7" s="202" t="s">
        <v>236</v>
      </c>
      <c r="F7" s="202" t="s">
        <v>483</v>
      </c>
      <c r="U7" s="197" t="s">
        <v>483</v>
      </c>
    </row>
    <row r="8" spans="1:21" x14ac:dyDescent="0.25">
      <c r="A8" s="202" t="s">
        <v>237</v>
      </c>
      <c r="B8" s="221">
        <f>'SAGD Calculations'!B8</f>
        <v>0.2</v>
      </c>
      <c r="C8" s="221">
        <f>'SAGD Calculations'!C8</f>
        <v>0.1</v>
      </c>
      <c r="D8" s="221">
        <f>'SAGD Calculations'!D8</f>
        <v>0.6</v>
      </c>
      <c r="E8" s="202" t="s">
        <v>236</v>
      </c>
      <c r="F8" s="202" t="s">
        <v>483</v>
      </c>
      <c r="G8" s="180" t="s">
        <v>523</v>
      </c>
      <c r="I8" s="197" t="s">
        <v>483</v>
      </c>
    </row>
    <row r="9" spans="1:21" x14ac:dyDescent="0.25">
      <c r="A9" s="202" t="s">
        <v>238</v>
      </c>
      <c r="B9" s="203">
        <v>0.8</v>
      </c>
      <c r="C9" s="203">
        <v>0.8</v>
      </c>
      <c r="D9" s="203">
        <v>0.8</v>
      </c>
      <c r="E9" s="202" t="s">
        <v>240</v>
      </c>
      <c r="F9" s="202" t="s">
        <v>483</v>
      </c>
    </row>
    <row r="10" spans="1:21" x14ac:dyDescent="0.25">
      <c r="A10" s="202" t="s">
        <v>241</v>
      </c>
      <c r="B10" s="202">
        <v>150</v>
      </c>
      <c r="C10" s="202">
        <v>100</v>
      </c>
      <c r="D10" s="202">
        <v>180</v>
      </c>
      <c r="E10" s="202" t="s">
        <v>242</v>
      </c>
      <c r="F10" s="202" t="s">
        <v>483</v>
      </c>
    </row>
    <row r="11" spans="1:21" x14ac:dyDescent="0.25">
      <c r="A11" s="202" t="s">
        <v>243</v>
      </c>
      <c r="B11" s="266">
        <f>B105</f>
        <v>157.54061636844003</v>
      </c>
      <c r="C11" s="266">
        <f t="shared" ref="C11:D11" si="0">C105</f>
        <v>87.061843400984742</v>
      </c>
      <c r="D11" s="266">
        <f t="shared" si="0"/>
        <v>297.89541191305398</v>
      </c>
      <c r="E11" s="202" t="s">
        <v>234</v>
      </c>
      <c r="F11" s="202" t="s">
        <v>483</v>
      </c>
    </row>
    <row r="12" spans="1:21" x14ac:dyDescent="0.25">
      <c r="A12" s="226" t="s">
        <v>244</v>
      </c>
      <c r="B12" s="221"/>
      <c r="C12" s="227"/>
      <c r="D12" s="227"/>
      <c r="E12" s="202"/>
      <c r="F12" s="202"/>
    </row>
    <row r="13" spans="1:21" x14ac:dyDescent="0.25">
      <c r="A13" s="206" t="s">
        <v>567</v>
      </c>
      <c r="B13" s="228">
        <v>0.3</v>
      </c>
      <c r="C13" s="228">
        <v>0.3</v>
      </c>
      <c r="D13" s="228">
        <v>0.3</v>
      </c>
      <c r="E13" s="202" t="s">
        <v>294</v>
      </c>
      <c r="F13" s="202" t="s">
        <v>479</v>
      </c>
    </row>
    <row r="14" spans="1:21" x14ac:dyDescent="0.25">
      <c r="A14" s="206" t="s">
        <v>295</v>
      </c>
      <c r="B14" s="228">
        <v>0.25</v>
      </c>
      <c r="C14" s="228">
        <v>0.25</v>
      </c>
      <c r="D14" s="228">
        <v>0.25</v>
      </c>
      <c r="E14" s="202" t="s">
        <v>294</v>
      </c>
      <c r="F14" s="202" t="s">
        <v>479</v>
      </c>
    </row>
    <row r="15" spans="1:21" x14ac:dyDescent="0.25">
      <c r="A15" s="206" t="s">
        <v>296</v>
      </c>
      <c r="B15" s="228">
        <v>0.5</v>
      </c>
      <c r="C15" s="228">
        <v>0.5</v>
      </c>
      <c r="D15" s="228">
        <v>0.5</v>
      </c>
      <c r="E15" s="202" t="s">
        <v>294</v>
      </c>
      <c r="F15" s="202" t="s">
        <v>479</v>
      </c>
    </row>
    <row r="16" spans="1:21" x14ac:dyDescent="0.25">
      <c r="A16" s="206" t="s">
        <v>567</v>
      </c>
      <c r="B16" s="265">
        <f>B13/(1-B13)</f>
        <v>0.4285714285714286</v>
      </c>
      <c r="C16" s="265">
        <f t="shared" ref="C16:D17" si="1">C13/(1-C13)</f>
        <v>0.4285714285714286</v>
      </c>
      <c r="D16" s="265">
        <f t="shared" si="1"/>
        <v>0.4285714285714286</v>
      </c>
      <c r="E16" s="202" t="s">
        <v>297</v>
      </c>
      <c r="F16" s="202"/>
    </row>
    <row r="17" spans="1:6" x14ac:dyDescent="0.25">
      <c r="A17" s="206" t="s">
        <v>298</v>
      </c>
      <c r="B17" s="265">
        <f>B14/(1-B14)</f>
        <v>0.33333333333333331</v>
      </c>
      <c r="C17" s="265">
        <f t="shared" si="1"/>
        <v>0.33333333333333331</v>
      </c>
      <c r="D17" s="265">
        <f t="shared" si="1"/>
        <v>0.33333333333333331</v>
      </c>
      <c r="E17" s="202" t="s">
        <v>297</v>
      </c>
      <c r="F17" s="202"/>
    </row>
    <row r="18" spans="1:6" x14ac:dyDescent="0.25">
      <c r="A18" s="206" t="s">
        <v>299</v>
      </c>
      <c r="B18" s="265">
        <f>B14/(1-B14)</f>
        <v>0.33333333333333331</v>
      </c>
      <c r="C18" s="265">
        <f t="shared" ref="C18:D19" si="2">C14/(1-C14)</f>
        <v>0.33333333333333331</v>
      </c>
      <c r="D18" s="265">
        <f t="shared" si="2"/>
        <v>0.33333333333333331</v>
      </c>
      <c r="E18" s="202" t="s">
        <v>300</v>
      </c>
      <c r="F18" s="202"/>
    </row>
    <row r="19" spans="1:6" x14ac:dyDescent="0.25">
      <c r="A19" s="206" t="s">
        <v>296</v>
      </c>
      <c r="B19" s="202">
        <f>B15/(1-B15)</f>
        <v>1</v>
      </c>
      <c r="C19" s="202">
        <f t="shared" si="2"/>
        <v>1</v>
      </c>
      <c r="D19" s="202">
        <f t="shared" si="2"/>
        <v>1</v>
      </c>
      <c r="E19" s="202" t="s">
        <v>301</v>
      </c>
      <c r="F19" s="202"/>
    </row>
    <row r="20" spans="1:6" x14ac:dyDescent="0.25">
      <c r="A20" s="202"/>
      <c r="B20" s="202"/>
      <c r="C20" s="202"/>
      <c r="D20" s="202"/>
      <c r="E20" s="202"/>
      <c r="F20" s="202"/>
    </row>
    <row r="21" spans="1:6" x14ac:dyDescent="0.25">
      <c r="A21" s="200" t="s">
        <v>245</v>
      </c>
      <c r="B21"/>
      <c r="C21"/>
      <c r="D21"/>
      <c r="E21"/>
      <c r="F21"/>
    </row>
    <row r="22" spans="1:6" x14ac:dyDescent="0.25">
      <c r="A22" s="201" t="s">
        <v>226</v>
      </c>
      <c r="B22" s="201" t="s">
        <v>59</v>
      </c>
      <c r="C22" s="201" t="s">
        <v>227</v>
      </c>
      <c r="D22" s="201" t="s">
        <v>228</v>
      </c>
      <c r="E22" s="201" t="s">
        <v>270</v>
      </c>
      <c r="F22"/>
    </row>
    <row r="23" spans="1:6" x14ac:dyDescent="0.25">
      <c r="A23" s="202" t="s">
        <v>229</v>
      </c>
      <c r="B23" s="202">
        <v>3.5</v>
      </c>
      <c r="C23" s="202">
        <v>2.6</v>
      </c>
      <c r="D23" s="202">
        <v>5.9</v>
      </c>
      <c r="E23" s="202" t="s">
        <v>230</v>
      </c>
      <c r="F23" s="202" t="s">
        <v>483</v>
      </c>
    </row>
    <row r="24" spans="1:6" x14ac:dyDescent="0.25">
      <c r="A24" s="202" t="s">
        <v>231</v>
      </c>
      <c r="B24" s="202">
        <v>0</v>
      </c>
      <c r="C24" s="202">
        <v>0</v>
      </c>
      <c r="D24" s="202">
        <v>0</v>
      </c>
      <c r="E24" s="202" t="s">
        <v>232</v>
      </c>
      <c r="F24" s="202" t="s">
        <v>483</v>
      </c>
    </row>
    <row r="25" spans="1:6" x14ac:dyDescent="0.25">
      <c r="A25" s="202" t="s">
        <v>233</v>
      </c>
      <c r="B25" s="202">
        <v>51.4</v>
      </c>
      <c r="C25" s="202">
        <v>29</v>
      </c>
      <c r="D25" s="202">
        <v>87</v>
      </c>
      <c r="E25" s="202" t="s">
        <v>234</v>
      </c>
      <c r="F25" s="202" t="s">
        <v>483</v>
      </c>
    </row>
    <row r="26" spans="1:6" x14ac:dyDescent="0.25">
      <c r="A26" s="202" t="s">
        <v>235</v>
      </c>
      <c r="B26" s="202">
        <v>1.4</v>
      </c>
      <c r="C26" s="202">
        <v>0</v>
      </c>
      <c r="D26" s="202">
        <v>1.4</v>
      </c>
      <c r="E26" s="202" t="s">
        <v>236</v>
      </c>
      <c r="F26" s="202" t="s">
        <v>483</v>
      </c>
    </row>
    <row r="27" spans="1:6" x14ac:dyDescent="0.25">
      <c r="A27" s="202" t="s">
        <v>237</v>
      </c>
      <c r="B27" s="202">
        <v>0</v>
      </c>
      <c r="C27" s="202">
        <v>0</v>
      </c>
      <c r="D27" s="202">
        <v>0</v>
      </c>
      <c r="E27" s="202" t="s">
        <v>236</v>
      </c>
      <c r="F27" s="202" t="s">
        <v>483</v>
      </c>
    </row>
    <row r="28" spans="1:6" x14ac:dyDescent="0.25">
      <c r="A28" s="202" t="s">
        <v>238</v>
      </c>
      <c r="B28" s="203">
        <v>0.8</v>
      </c>
      <c r="C28" s="202" t="s">
        <v>239</v>
      </c>
      <c r="D28" s="202" t="s">
        <v>239</v>
      </c>
      <c r="E28" s="202" t="s">
        <v>240</v>
      </c>
      <c r="F28" s="202" t="s">
        <v>483</v>
      </c>
    </row>
    <row r="29" spans="1:6" x14ac:dyDescent="0.25">
      <c r="A29" s="202" t="s">
        <v>238</v>
      </c>
      <c r="B29" s="202">
        <v>150</v>
      </c>
      <c r="C29" s="202">
        <v>100</v>
      </c>
      <c r="D29" s="202">
        <v>180</v>
      </c>
      <c r="E29" s="202" t="s">
        <v>242</v>
      </c>
      <c r="F29" s="202" t="s">
        <v>483</v>
      </c>
    </row>
    <row r="30" spans="1:6" x14ac:dyDescent="0.25">
      <c r="A30" s="202" t="s">
        <v>243</v>
      </c>
      <c r="B30" s="202">
        <f>B105</f>
        <v>157.54061636844003</v>
      </c>
      <c r="C30" s="202">
        <f t="shared" ref="C30:D30" si="3">C105</f>
        <v>87.061843400984742</v>
      </c>
      <c r="D30" s="202">
        <f t="shared" si="3"/>
        <v>297.89541191305398</v>
      </c>
      <c r="E30" s="202" t="s">
        <v>234</v>
      </c>
      <c r="F30" s="202" t="s">
        <v>483</v>
      </c>
    </row>
    <row r="31" spans="1:6" x14ac:dyDescent="0.25">
      <c r="A31" s="202" t="s">
        <v>530</v>
      </c>
      <c r="B31" s="203">
        <v>0.3</v>
      </c>
      <c r="C31" s="203">
        <v>0.3</v>
      </c>
      <c r="D31" s="203">
        <v>0.3</v>
      </c>
      <c r="E31" s="202"/>
      <c r="F31" s="202" t="s">
        <v>479</v>
      </c>
    </row>
    <row r="32" spans="1:6" x14ac:dyDescent="0.25">
      <c r="A32" s="202" t="s">
        <v>246</v>
      </c>
      <c r="B32" s="202">
        <v>1500</v>
      </c>
      <c r="C32" s="202">
        <v>300</v>
      </c>
      <c r="D32" s="202">
        <v>3000</v>
      </c>
      <c r="E32" s="202" t="s">
        <v>232</v>
      </c>
      <c r="F32" s="202" t="s">
        <v>483</v>
      </c>
    </row>
    <row r="33" spans="1:21" x14ac:dyDescent="0.25">
      <c r="A33" s="202" t="s">
        <v>578</v>
      </c>
      <c r="B33" s="202">
        <f>B32-B5</f>
        <v>1409</v>
      </c>
      <c r="C33" s="202">
        <f>C32-D5</f>
        <v>201</v>
      </c>
      <c r="D33" s="202">
        <f>D32-C5</f>
        <v>2913</v>
      </c>
      <c r="E33" s="202"/>
      <c r="F33" s="202"/>
    </row>
    <row r="34" spans="1:21" x14ac:dyDescent="0.25">
      <c r="A34" s="202" t="s">
        <v>528</v>
      </c>
      <c r="B34" s="202"/>
      <c r="C34" s="202"/>
      <c r="D34" s="202"/>
      <c r="E34" s="202"/>
      <c r="F34" s="202"/>
    </row>
    <row r="35" spans="1:21" x14ac:dyDescent="0.25">
      <c r="A35" s="206" t="s">
        <v>529</v>
      </c>
      <c r="B35" s="266">
        <f>B32/Conversions!$E$11*Conversions!$E$12/$B$31/$B$88</f>
        <v>474.93403693931401</v>
      </c>
      <c r="C35" s="266">
        <f>C32/Conversions!$E$11*Conversions!$E$12/$B$31/$B$88</f>
        <v>94.986807387862797</v>
      </c>
      <c r="D35" s="266">
        <f>D32/Conversions!$E$11*Conversions!$E$12/$B$31/$B$88</f>
        <v>949.86807387862802</v>
      </c>
      <c r="E35" s="202" t="s">
        <v>234</v>
      </c>
      <c r="F35" s="202"/>
    </row>
    <row r="36" spans="1:21" x14ac:dyDescent="0.25">
      <c r="A36" s="206" t="s">
        <v>533</v>
      </c>
      <c r="B36" s="266">
        <f>B35-B25</f>
        <v>423.53403693931403</v>
      </c>
      <c r="C36" s="266">
        <f>C35-C25</f>
        <v>65.986807387862797</v>
      </c>
      <c r="D36" s="266">
        <f>D35-D25</f>
        <v>862.86807387862802</v>
      </c>
      <c r="E36" s="202" t="s">
        <v>534</v>
      </c>
      <c r="F36" s="202"/>
      <c r="U36" t="s">
        <v>284</v>
      </c>
    </row>
    <row r="37" spans="1:21" x14ac:dyDescent="0.25">
      <c r="A37" s="206" t="s">
        <v>567</v>
      </c>
      <c r="B37" s="228">
        <v>0.3</v>
      </c>
      <c r="C37" s="228">
        <v>0.3</v>
      </c>
      <c r="D37" s="228">
        <v>0.3</v>
      </c>
      <c r="E37" s="202" t="s">
        <v>294</v>
      </c>
      <c r="F37" s="202" t="s">
        <v>479</v>
      </c>
    </row>
    <row r="38" spans="1:21" x14ac:dyDescent="0.25">
      <c r="A38" s="206" t="s">
        <v>295</v>
      </c>
      <c r="B38" s="228">
        <v>0.25</v>
      </c>
      <c r="C38" s="228">
        <v>0.25</v>
      </c>
      <c r="D38" s="228">
        <v>0.25</v>
      </c>
      <c r="E38" s="202" t="s">
        <v>294</v>
      </c>
      <c r="F38" s="202" t="s">
        <v>479</v>
      </c>
      <c r="I38" t="s">
        <v>483</v>
      </c>
    </row>
    <row r="39" spans="1:21" x14ac:dyDescent="0.25">
      <c r="A39" s="206" t="s">
        <v>296</v>
      </c>
      <c r="B39" s="228">
        <v>0.5</v>
      </c>
      <c r="C39" s="228">
        <v>0.5</v>
      </c>
      <c r="D39" s="228">
        <v>0.5</v>
      </c>
      <c r="E39" s="202" t="s">
        <v>294</v>
      </c>
      <c r="F39" s="202" t="s">
        <v>479</v>
      </c>
    </row>
    <row r="40" spans="1:21" x14ac:dyDescent="0.25">
      <c r="A40" s="206" t="s">
        <v>567</v>
      </c>
      <c r="B40" s="265">
        <f>B37/(1-B37)</f>
        <v>0.4285714285714286</v>
      </c>
      <c r="C40" s="265">
        <f t="shared" ref="C40:D41" si="4">C37/(1-C37)</f>
        <v>0.4285714285714286</v>
      </c>
      <c r="D40" s="265">
        <f t="shared" si="4"/>
        <v>0.4285714285714286</v>
      </c>
      <c r="E40" s="202" t="s">
        <v>297</v>
      </c>
      <c r="F40" s="202"/>
    </row>
    <row r="41" spans="1:21" x14ac:dyDescent="0.25">
      <c r="A41" s="206" t="s">
        <v>298</v>
      </c>
      <c r="B41" s="265">
        <f>B38/(1-B38)</f>
        <v>0.33333333333333331</v>
      </c>
      <c r="C41" s="265">
        <f t="shared" si="4"/>
        <v>0.33333333333333331</v>
      </c>
      <c r="D41" s="265">
        <f t="shared" si="4"/>
        <v>0.33333333333333331</v>
      </c>
      <c r="E41" s="202" t="s">
        <v>297</v>
      </c>
      <c r="F41" s="202"/>
    </row>
    <row r="42" spans="1:21" x14ac:dyDescent="0.25">
      <c r="A42" s="206" t="s">
        <v>299</v>
      </c>
      <c r="B42" s="265">
        <f>B38/(1-B38)</f>
        <v>0.33333333333333331</v>
      </c>
      <c r="C42" s="265">
        <f t="shared" ref="C42:D43" si="5">C38/(1-C38)</f>
        <v>0.33333333333333331</v>
      </c>
      <c r="D42" s="265">
        <f t="shared" si="5"/>
        <v>0.33333333333333331</v>
      </c>
      <c r="E42" s="202" t="s">
        <v>300</v>
      </c>
      <c r="F42" s="202"/>
    </row>
    <row r="43" spans="1:21" x14ac:dyDescent="0.25">
      <c r="A43" s="206" t="s">
        <v>296</v>
      </c>
      <c r="B43" s="202">
        <f>B39/(1-B39)</f>
        <v>1</v>
      </c>
      <c r="C43" s="202">
        <f t="shared" si="5"/>
        <v>1</v>
      </c>
      <c r="D43" s="202">
        <f t="shared" si="5"/>
        <v>1</v>
      </c>
      <c r="E43" s="202" t="s">
        <v>301</v>
      </c>
      <c r="F43" s="202"/>
    </row>
    <row r="44" spans="1:21" x14ac:dyDescent="0.25">
      <c r="A44" s="173"/>
      <c r="B44" s="173"/>
      <c r="C44" s="173"/>
      <c r="D44" s="173"/>
      <c r="E44" s="173"/>
      <c r="F44" s="173"/>
    </row>
    <row r="45" spans="1:21" x14ac:dyDescent="0.25">
      <c r="A45" s="200" t="s">
        <v>225</v>
      </c>
      <c r="B45"/>
      <c r="C45"/>
      <c r="D45"/>
      <c r="E45"/>
      <c r="F45"/>
      <c r="U45" s="221" t="s">
        <v>481</v>
      </c>
    </row>
    <row r="46" spans="1:21" x14ac:dyDescent="0.25">
      <c r="A46" s="201" t="s">
        <v>226</v>
      </c>
      <c r="B46" s="201" t="s">
        <v>59</v>
      </c>
      <c r="C46" s="201" t="s">
        <v>227</v>
      </c>
      <c r="D46" s="201" t="s">
        <v>228</v>
      </c>
      <c r="E46" s="201" t="s">
        <v>71</v>
      </c>
      <c r="F46" s="201" t="s">
        <v>221</v>
      </c>
    </row>
    <row r="47" spans="1:21" x14ac:dyDescent="0.25">
      <c r="A47" s="202" t="s">
        <v>229</v>
      </c>
      <c r="B47" s="231">
        <f>B4/$B$82</f>
        <v>3.4516765285996054E-3</v>
      </c>
      <c r="C47" s="231">
        <f>C4/$B$82</f>
        <v>2.5641025641025641E-3</v>
      </c>
      <c r="D47" s="231">
        <f>D4/$B$82</f>
        <v>5.8185404339250501E-3</v>
      </c>
      <c r="E47" s="202" t="s">
        <v>271</v>
      </c>
      <c r="F47" s="202" t="s">
        <v>483</v>
      </c>
    </row>
    <row r="48" spans="1:21" x14ac:dyDescent="0.25">
      <c r="A48" s="221" t="s">
        <v>231</v>
      </c>
      <c r="B48" s="231">
        <f>B5/$B$82/Conversions!$E$11</f>
        <v>8.9743589743589749E-5</v>
      </c>
      <c r="C48" s="231">
        <f>C5/$B$82/Conversions!$E$11</f>
        <v>8.5798816568047331E-5</v>
      </c>
      <c r="D48" s="231">
        <f>D5/$B$82/Conversions!$E$11</f>
        <v>9.7633136094674557E-5</v>
      </c>
      <c r="E48" s="202" t="s">
        <v>325</v>
      </c>
      <c r="F48" s="202" t="s">
        <v>483</v>
      </c>
    </row>
    <row r="49" spans="1:6" x14ac:dyDescent="0.25">
      <c r="A49" s="221" t="s">
        <v>233</v>
      </c>
      <c r="B49" s="231">
        <f>B6/$B$82</f>
        <v>5.0690335305719918E-2</v>
      </c>
      <c r="C49" s="231">
        <f>C6/$B$82</f>
        <v>2.8796844181459565E-2</v>
      </c>
      <c r="D49" s="231">
        <f>D6/$B$82</f>
        <v>8.5404339250493094E-2</v>
      </c>
      <c r="E49" s="202" t="s">
        <v>273</v>
      </c>
      <c r="F49" s="202" t="s">
        <v>483</v>
      </c>
    </row>
    <row r="50" spans="1:6" x14ac:dyDescent="0.25">
      <c r="A50" s="221" t="s">
        <v>235</v>
      </c>
      <c r="B50" s="231">
        <f>B7/$B$82/$B$89</f>
        <v>5.522682445759369E-5</v>
      </c>
      <c r="C50" s="231">
        <f>C7/$B$82/$B$89</f>
        <v>0</v>
      </c>
      <c r="D50" s="231">
        <f>D7/$B$82/$B$89</f>
        <v>5.522682445759369E-5</v>
      </c>
      <c r="E50" s="202" t="s">
        <v>318</v>
      </c>
      <c r="F50" s="202" t="s">
        <v>483</v>
      </c>
    </row>
    <row r="51" spans="1:6" x14ac:dyDescent="0.25">
      <c r="A51" s="221" t="s">
        <v>237</v>
      </c>
      <c r="B51" s="207">
        <f>B8/$B$82</f>
        <v>1.9723865877712034E-4</v>
      </c>
      <c r="C51" s="207">
        <f>C8/$B$82</f>
        <v>9.8619329388560168E-5</v>
      </c>
      <c r="D51" s="207">
        <f>D8/$B$82</f>
        <v>5.9171597633136095E-4</v>
      </c>
      <c r="E51" s="202" t="s">
        <v>274</v>
      </c>
      <c r="F51" s="202" t="s">
        <v>483</v>
      </c>
    </row>
    <row r="52" spans="1:6" x14ac:dyDescent="0.25">
      <c r="A52" s="221" t="s">
        <v>238</v>
      </c>
      <c r="B52" s="208">
        <v>0.8</v>
      </c>
      <c r="C52" s="208">
        <v>0.8</v>
      </c>
      <c r="D52" s="208">
        <v>0.8</v>
      </c>
      <c r="E52" s="202" t="s">
        <v>240</v>
      </c>
      <c r="F52" s="202" t="s">
        <v>483</v>
      </c>
    </row>
    <row r="53" spans="1:6" x14ac:dyDescent="0.25">
      <c r="A53" s="221" t="s">
        <v>241</v>
      </c>
      <c r="B53" s="207">
        <v>150</v>
      </c>
      <c r="C53" s="207">
        <v>100</v>
      </c>
      <c r="D53" s="207">
        <v>180</v>
      </c>
      <c r="E53" s="202" t="s">
        <v>242</v>
      </c>
      <c r="F53" s="202" t="s">
        <v>483</v>
      </c>
    </row>
    <row r="54" spans="1:6" x14ac:dyDescent="0.25">
      <c r="A54" s="221" t="s">
        <v>243</v>
      </c>
      <c r="B54" s="207">
        <f>B105/$B$82*$D$87</f>
        <v>0.10452619407608504</v>
      </c>
      <c r="C54" s="207">
        <f t="shared" ref="C54:D54" si="6">C105/$B$82*$D$87</f>
        <v>5.7764425135105026E-2</v>
      </c>
      <c r="D54" s="207">
        <f t="shared" si="6"/>
        <v>0.19764981474477081</v>
      </c>
      <c r="E54" s="202" t="s">
        <v>316</v>
      </c>
      <c r="F54" s="202" t="s">
        <v>483</v>
      </c>
    </row>
    <row r="55" spans="1:6" x14ac:dyDescent="0.25">
      <c r="A55" s="246" t="s">
        <v>244</v>
      </c>
      <c r="B55" s="231"/>
      <c r="C55" s="232"/>
      <c r="D55" s="232"/>
      <c r="E55" s="202"/>
      <c r="F55" s="221"/>
    </row>
    <row r="56" spans="1:6" x14ac:dyDescent="0.25">
      <c r="A56" s="247" t="s">
        <v>567</v>
      </c>
      <c r="B56" s="231">
        <f t="shared" ref="B56:D57" si="7">B16/$B$82*$D$85</f>
        <v>0.32340957310835433</v>
      </c>
      <c r="C56" s="231">
        <f t="shared" si="7"/>
        <v>0.32340957310835433</v>
      </c>
      <c r="D56" s="231">
        <f t="shared" si="7"/>
        <v>0.32340957310835433</v>
      </c>
      <c r="E56" s="202" t="s">
        <v>315</v>
      </c>
      <c r="F56" s="221"/>
    </row>
    <row r="57" spans="1:6" x14ac:dyDescent="0.25">
      <c r="A57" s="247" t="s">
        <v>298</v>
      </c>
      <c r="B57" s="231">
        <f t="shared" si="7"/>
        <v>0.25154077908427552</v>
      </c>
      <c r="C57" s="231">
        <f t="shared" si="7"/>
        <v>0.25154077908427552</v>
      </c>
      <c r="D57" s="231">
        <f t="shared" si="7"/>
        <v>0.25154077908427552</v>
      </c>
      <c r="E57" s="202" t="s">
        <v>315</v>
      </c>
      <c r="F57" s="221"/>
    </row>
    <row r="58" spans="1:6" x14ac:dyDescent="0.25">
      <c r="A58" s="247" t="s">
        <v>299</v>
      </c>
      <c r="B58" s="231">
        <f>B18/$B$82*$D$84</f>
        <v>0.17825132738415958</v>
      </c>
      <c r="C58" s="231">
        <f>C18/$B$82*$D$84</f>
        <v>0.17825132738415958</v>
      </c>
      <c r="D58" s="231">
        <f>D18/$B$82*$D$84</f>
        <v>0.17825132738415958</v>
      </c>
      <c r="E58" s="202" t="s">
        <v>338</v>
      </c>
      <c r="F58" s="221"/>
    </row>
    <row r="59" spans="1:6" x14ac:dyDescent="0.25">
      <c r="A59" s="247" t="s">
        <v>296</v>
      </c>
      <c r="B59" s="231">
        <f>B19/$B$82*$B$83</f>
        <v>0.88362919132149909</v>
      </c>
      <c r="C59" s="231">
        <f>C19/$B$82*$B$83</f>
        <v>0.88362919132149909</v>
      </c>
      <c r="D59" s="231">
        <f>D19/$B$82*$B$83</f>
        <v>0.88362919132149909</v>
      </c>
      <c r="E59" s="202" t="s">
        <v>339</v>
      </c>
      <c r="F59" s="221"/>
    </row>
    <row r="60" spans="1:6" x14ac:dyDescent="0.25">
      <c r="A60" s="202"/>
      <c r="B60" s="209"/>
      <c r="C60" s="209"/>
      <c r="D60" s="209"/>
      <c r="E60" s="202"/>
      <c r="F60" s="221"/>
    </row>
    <row r="61" spans="1:6" x14ac:dyDescent="0.25">
      <c r="A61" s="202"/>
      <c r="B61" s="209"/>
      <c r="C61" s="209"/>
      <c r="D61" s="209"/>
      <c r="E61" s="202"/>
      <c r="F61" s="221"/>
    </row>
    <row r="62" spans="1:6" x14ac:dyDescent="0.25">
      <c r="A62" s="200" t="s">
        <v>245</v>
      </c>
      <c r="B62"/>
      <c r="C62"/>
      <c r="D62"/>
      <c r="E62"/>
      <c r="F62"/>
    </row>
    <row r="63" spans="1:6" x14ac:dyDescent="0.25">
      <c r="A63" s="201" t="s">
        <v>226</v>
      </c>
      <c r="B63" s="201" t="s">
        <v>59</v>
      </c>
      <c r="C63" s="201" t="s">
        <v>227</v>
      </c>
      <c r="D63" s="201" t="s">
        <v>228</v>
      </c>
      <c r="E63" s="201" t="s">
        <v>71</v>
      </c>
      <c r="F63"/>
    </row>
    <row r="64" spans="1:6" x14ac:dyDescent="0.25">
      <c r="A64" s="221" t="s">
        <v>229</v>
      </c>
      <c r="B64" s="231">
        <f>B23/$B$82</f>
        <v>3.4516765285996054E-3</v>
      </c>
      <c r="C64" s="231">
        <f>C23/$B$82</f>
        <v>2.5641025641025641E-3</v>
      </c>
      <c r="D64" s="231">
        <f>D23/$B$82</f>
        <v>5.8185404339250501E-3</v>
      </c>
      <c r="E64" s="202" t="s">
        <v>271</v>
      </c>
      <c r="F64" s="202" t="s">
        <v>483</v>
      </c>
    </row>
    <row r="65" spans="1:22" x14ac:dyDescent="0.25">
      <c r="A65" s="221" t="s">
        <v>231</v>
      </c>
      <c r="B65" s="231">
        <f>B24/$B$82/Conversions!$E$11</f>
        <v>0</v>
      </c>
      <c r="C65" s="231">
        <f>C24/$B$82/Conversions!$E$11</f>
        <v>0</v>
      </c>
      <c r="D65" s="231">
        <f>D24/$B$82/Conversions!$E$11</f>
        <v>0</v>
      </c>
      <c r="E65" s="202" t="s">
        <v>272</v>
      </c>
      <c r="F65" s="202" t="s">
        <v>483</v>
      </c>
    </row>
    <row r="66" spans="1:22" x14ac:dyDescent="0.25">
      <c r="A66" s="221" t="s">
        <v>233</v>
      </c>
      <c r="B66" s="231">
        <f>B25/$B$82</f>
        <v>5.0690335305719918E-2</v>
      </c>
      <c r="C66" s="231">
        <f>C25/$B$82</f>
        <v>2.8599605522682446E-2</v>
      </c>
      <c r="D66" s="231">
        <f>D25/$B$82</f>
        <v>8.5798816568047331E-2</v>
      </c>
      <c r="E66" s="202" t="s">
        <v>273</v>
      </c>
      <c r="F66" s="202" t="s">
        <v>483</v>
      </c>
      <c r="U66" t="s">
        <v>483</v>
      </c>
    </row>
    <row r="67" spans="1:22" x14ac:dyDescent="0.25">
      <c r="A67" s="221" t="s">
        <v>235</v>
      </c>
      <c r="B67" s="231">
        <f>B26/$B$82/$B$89</f>
        <v>5.522682445759369E-5</v>
      </c>
      <c r="C67" s="231">
        <f>C26/$B$82/$B$89</f>
        <v>0</v>
      </c>
      <c r="D67" s="231">
        <f>D26/$B$82/$B$89</f>
        <v>5.522682445759369E-5</v>
      </c>
      <c r="E67" s="202" t="s">
        <v>274</v>
      </c>
      <c r="F67" s="202" t="s">
        <v>483</v>
      </c>
    </row>
    <row r="68" spans="1:22" x14ac:dyDescent="0.25">
      <c r="A68" s="221" t="s">
        <v>237</v>
      </c>
      <c r="B68" s="207">
        <f>B27/$B$82</f>
        <v>0</v>
      </c>
      <c r="C68" s="207">
        <f>C27/$B$82</f>
        <v>0</v>
      </c>
      <c r="D68" s="207">
        <f>D27/$B$82</f>
        <v>0</v>
      </c>
      <c r="E68" s="202" t="s">
        <v>274</v>
      </c>
      <c r="F68" s="202" t="s">
        <v>483</v>
      </c>
    </row>
    <row r="69" spans="1:22" x14ac:dyDescent="0.25">
      <c r="A69" s="221" t="s">
        <v>238</v>
      </c>
      <c r="B69" s="208">
        <v>0.8</v>
      </c>
      <c r="C69" s="208">
        <v>0.8</v>
      </c>
      <c r="D69" s="208">
        <v>0.8</v>
      </c>
      <c r="E69" s="202" t="s">
        <v>240</v>
      </c>
      <c r="F69" s="202" t="s">
        <v>483</v>
      </c>
    </row>
    <row r="70" spans="1:22" x14ac:dyDescent="0.25">
      <c r="A70" s="221" t="s">
        <v>238</v>
      </c>
      <c r="B70" s="207">
        <v>150</v>
      </c>
      <c r="C70" s="207">
        <v>100</v>
      </c>
      <c r="D70" s="207">
        <v>180</v>
      </c>
      <c r="E70" s="202" t="s">
        <v>242</v>
      </c>
      <c r="F70" s="202" t="s">
        <v>483</v>
      </c>
    </row>
    <row r="71" spans="1:22" x14ac:dyDescent="0.25">
      <c r="A71" s="221" t="s">
        <v>243</v>
      </c>
      <c r="B71" s="207">
        <f>B36/$B$82*$D$87</f>
        <v>0.28100944355461566</v>
      </c>
      <c r="C71" s="207">
        <f t="shared" ref="C71:D71" si="8">C36/$B$82*$D$87</f>
        <v>4.3781406944315662E-2</v>
      </c>
      <c r="D71" s="207">
        <f t="shared" si="8"/>
        <v>0.57250198603617575</v>
      </c>
      <c r="E71" s="202" t="s">
        <v>273</v>
      </c>
      <c r="F71" s="202" t="s">
        <v>483</v>
      </c>
    </row>
    <row r="72" spans="1:22" x14ac:dyDescent="0.25">
      <c r="A72" s="221" t="s">
        <v>246</v>
      </c>
      <c r="B72" s="231">
        <f>B33/$B$82/Conversions!$E$11</f>
        <v>1.3895463510848127E-3</v>
      </c>
      <c r="C72" s="231">
        <f>C33/$B$82/Conversions!$E$11</f>
        <v>1.9822485207100592E-4</v>
      </c>
      <c r="D72" s="231">
        <f>D33/$B$82/Conversions!$E$11</f>
        <v>2.8727810650887573E-3</v>
      </c>
      <c r="E72" s="202" t="s">
        <v>325</v>
      </c>
      <c r="F72" s="202" t="s">
        <v>479</v>
      </c>
      <c r="G72" s="202" t="s">
        <v>524</v>
      </c>
    </row>
    <row r="73" spans="1:22" x14ac:dyDescent="0.25">
      <c r="A73" s="246" t="s">
        <v>244</v>
      </c>
      <c r="B73" s="231"/>
      <c r="C73" s="232"/>
      <c r="D73" s="232"/>
      <c r="E73" s="202"/>
      <c r="F73" s="202"/>
      <c r="G73" s="202"/>
    </row>
    <row r="74" spans="1:22" x14ac:dyDescent="0.25">
      <c r="A74" s="247" t="s">
        <v>567</v>
      </c>
      <c r="B74" s="231">
        <f t="shared" ref="B74:D75" si="9">B40/$B$82*$D$85</f>
        <v>0.32340957310835433</v>
      </c>
      <c r="C74" s="231">
        <f t="shared" si="9"/>
        <v>0.32340957310835433</v>
      </c>
      <c r="D74" s="231">
        <f t="shared" si="9"/>
        <v>0.32340957310835433</v>
      </c>
      <c r="E74" s="202" t="s">
        <v>315</v>
      </c>
      <c r="F74" s="202"/>
      <c r="G74" s="202"/>
    </row>
    <row r="75" spans="1:22" x14ac:dyDescent="0.25">
      <c r="A75" s="247" t="s">
        <v>298</v>
      </c>
      <c r="B75" s="231">
        <f t="shared" si="9"/>
        <v>0.25154077908427552</v>
      </c>
      <c r="C75" s="231">
        <f t="shared" si="9"/>
        <v>0.25154077908427552</v>
      </c>
      <c r="D75" s="231">
        <f t="shared" si="9"/>
        <v>0.25154077908427552</v>
      </c>
      <c r="E75" s="202" t="s">
        <v>315</v>
      </c>
      <c r="F75" s="202"/>
      <c r="G75" s="202"/>
    </row>
    <row r="76" spans="1:22" x14ac:dyDescent="0.25">
      <c r="A76" s="247" t="s">
        <v>299</v>
      </c>
      <c r="B76" s="231">
        <f>B42/$B$82*$D$84</f>
        <v>0.17825132738415958</v>
      </c>
      <c r="C76" s="231">
        <f>C42/$B$82*$D$84</f>
        <v>0.17825132738415958</v>
      </c>
      <c r="D76" s="231">
        <f>D42/$B$82*$D$84</f>
        <v>0.17825132738415958</v>
      </c>
      <c r="E76" s="202" t="s">
        <v>338</v>
      </c>
      <c r="F76" s="202"/>
      <c r="G76" s="202"/>
    </row>
    <row r="77" spans="1:22" x14ac:dyDescent="0.25">
      <c r="A77" s="247" t="s">
        <v>296</v>
      </c>
      <c r="B77" s="231">
        <f>B43/$B$82*$B$83</f>
        <v>0.88362919132149909</v>
      </c>
      <c r="C77" s="231">
        <f>C43/$B$82*$B$83</f>
        <v>0.88362919132149909</v>
      </c>
      <c r="D77" s="231">
        <f>D43/$B$82*$B$83</f>
        <v>0.88362919132149909</v>
      </c>
      <c r="E77" s="202" t="s">
        <v>339</v>
      </c>
      <c r="F77" s="202"/>
      <c r="G77" s="202"/>
    </row>
    <row r="78" spans="1:22" x14ac:dyDescent="0.25">
      <c r="A78" s="202"/>
      <c r="B78" s="207"/>
      <c r="C78" s="207"/>
      <c r="D78" s="207"/>
      <c r="E78" s="202"/>
      <c r="F78" s="202"/>
      <c r="G78" s="202"/>
      <c r="I78" s="180" t="s">
        <v>478</v>
      </c>
    </row>
    <row r="79" spans="1:22" x14ac:dyDescent="0.25">
      <c r="A79" s="258"/>
      <c r="B79" s="259"/>
      <c r="C79" s="259"/>
      <c r="D79" s="259"/>
      <c r="E79" s="259"/>
      <c r="F79" s="259"/>
    </row>
    <row r="80" spans="1:22" x14ac:dyDescent="0.25">
      <c r="V80" s="180" t="s">
        <v>478</v>
      </c>
    </row>
    <row r="81" spans="1:6" x14ac:dyDescent="0.25">
      <c r="A81" s="201" t="s">
        <v>337</v>
      </c>
      <c r="B81"/>
      <c r="C81"/>
      <c r="D81"/>
      <c r="E81"/>
      <c r="F81"/>
    </row>
    <row r="82" spans="1:6" x14ac:dyDescent="0.25">
      <c r="A82" s="229" t="s">
        <v>302</v>
      </c>
      <c r="B82" s="202">
        <v>1014</v>
      </c>
      <c r="C82" t="s">
        <v>308</v>
      </c>
      <c r="D82"/>
      <c r="E82"/>
      <c r="F82" s="202" t="s">
        <v>478</v>
      </c>
    </row>
    <row r="83" spans="1:6" x14ac:dyDescent="0.25">
      <c r="A83" s="229" t="s">
        <v>303</v>
      </c>
      <c r="B83" s="202">
        <v>896</v>
      </c>
      <c r="C83" t="s">
        <v>308</v>
      </c>
      <c r="D83"/>
      <c r="E83"/>
      <c r="F83" s="202" t="s">
        <v>478</v>
      </c>
    </row>
    <row r="84" spans="1:6" x14ac:dyDescent="0.25">
      <c r="A84" s="229" t="s">
        <v>304</v>
      </c>
      <c r="B84">
        <f>1/1844.2</f>
        <v>5.4224053790261355E-4</v>
      </c>
      <c r="C84" t="s">
        <v>309</v>
      </c>
      <c r="D84" s="233">
        <f>B84*Conversions!$E$7*Conversions!$E$8</f>
        <v>542.24053790261348</v>
      </c>
      <c r="E84" t="s">
        <v>308</v>
      </c>
      <c r="F84" s="221" t="s">
        <v>482</v>
      </c>
    </row>
    <row r="85" spans="1:6" x14ac:dyDescent="0.25">
      <c r="A85" s="229" t="s">
        <v>305</v>
      </c>
      <c r="B85">
        <f>1/1306.87</f>
        <v>7.651870499743663E-4</v>
      </c>
      <c r="C85" t="s">
        <v>309</v>
      </c>
      <c r="D85" s="233">
        <f>B85*Conversions!$E$7*Conversions!$E$8</f>
        <v>765.18704997436623</v>
      </c>
      <c r="E85" t="s">
        <v>308</v>
      </c>
      <c r="F85" s="221" t="s">
        <v>482</v>
      </c>
    </row>
    <row r="86" spans="1:6" x14ac:dyDescent="0.25">
      <c r="A86" s="229" t="s">
        <v>306</v>
      </c>
      <c r="B86">
        <f>1/1186.04</f>
        <v>8.4314188391622542E-4</v>
      </c>
      <c r="C86" t="s">
        <v>309</v>
      </c>
      <c r="D86" s="233">
        <f>B86*Conversions!$E$7*Conversions!$E$8</f>
        <v>843.14188391622542</v>
      </c>
      <c r="E86" t="s">
        <v>308</v>
      </c>
      <c r="F86" s="221" t="s">
        <v>482</v>
      </c>
    </row>
    <row r="87" spans="1:6" x14ac:dyDescent="0.25">
      <c r="A87" s="229" t="s">
        <v>307</v>
      </c>
      <c r="B87">
        <v>4.2000000000000003E-2</v>
      </c>
      <c r="C87" t="s">
        <v>310</v>
      </c>
      <c r="D87" s="234">
        <f>B87/Conversions!$E$9*Conversions!$E$10</f>
        <v>0.67277609569123809</v>
      </c>
      <c r="E87" t="s">
        <v>308</v>
      </c>
      <c r="F87" s="221" t="s">
        <v>482</v>
      </c>
    </row>
    <row r="88" spans="1:6" x14ac:dyDescent="0.25">
      <c r="A88" s="229" t="s">
        <v>255</v>
      </c>
      <c r="B88">
        <v>37.9</v>
      </c>
      <c r="C88" t="s">
        <v>531</v>
      </c>
      <c r="D88"/>
      <c r="E88"/>
      <c r="F88" s="202" t="s">
        <v>478</v>
      </c>
    </row>
    <row r="89" spans="1:6" x14ac:dyDescent="0.25">
      <c r="A89" s="201" t="s">
        <v>317</v>
      </c>
      <c r="B89">
        <v>25</v>
      </c>
      <c r="C89"/>
      <c r="D89"/>
      <c r="E89"/>
      <c r="F89"/>
    </row>
    <row r="90" spans="1:6" x14ac:dyDescent="0.25">
      <c r="A90" s="259"/>
      <c r="B90" s="259"/>
      <c r="C90" s="259"/>
      <c r="D90" s="259"/>
      <c r="E90" s="259"/>
      <c r="F90" s="259"/>
    </row>
    <row r="91" spans="1:6" x14ac:dyDescent="0.25">
      <c r="A91" s="200" t="s">
        <v>247</v>
      </c>
      <c r="B91" s="202" t="s">
        <v>326</v>
      </c>
      <c r="C91" s="202" t="s">
        <v>227</v>
      </c>
      <c r="D91" s="202" t="s">
        <v>228</v>
      </c>
      <c r="E91"/>
      <c r="F91"/>
    </row>
    <row r="92" spans="1:6" x14ac:dyDescent="0.25">
      <c r="A92" s="204" t="s">
        <v>229</v>
      </c>
      <c r="B92" s="256">
        <f>B4</f>
        <v>3.5</v>
      </c>
      <c r="C92" s="256">
        <f>C4</f>
        <v>2.6</v>
      </c>
      <c r="D92" s="256">
        <f>D4</f>
        <v>5.9</v>
      </c>
      <c r="E92" s="202" t="s">
        <v>230</v>
      </c>
      <c r="F92"/>
    </row>
    <row r="93" spans="1:6" x14ac:dyDescent="0.25">
      <c r="A93" t="s">
        <v>248</v>
      </c>
      <c r="B93" s="203">
        <f>B9</f>
        <v>0.8</v>
      </c>
      <c r="C93" s="203">
        <f>C9</f>
        <v>0.8</v>
      </c>
      <c r="D93" s="203">
        <f>D9</f>
        <v>0.8</v>
      </c>
      <c r="E93"/>
      <c r="F93" t="s">
        <v>483</v>
      </c>
    </row>
    <row r="94" spans="1:6" x14ac:dyDescent="0.25">
      <c r="A94" t="s">
        <v>249</v>
      </c>
      <c r="B94" s="202">
        <f>B92*B93</f>
        <v>2.8000000000000003</v>
      </c>
      <c r="C94" s="202">
        <f t="shared" ref="C94:D94" si="10">C92*C93</f>
        <v>2.08</v>
      </c>
      <c r="D94" s="202">
        <f t="shared" si="10"/>
        <v>4.7200000000000006</v>
      </c>
      <c r="E94" s="202" t="s">
        <v>250</v>
      </c>
      <c r="F94"/>
    </row>
    <row r="95" spans="1:6" x14ac:dyDescent="0.25">
      <c r="A95" s="204" t="s">
        <v>241</v>
      </c>
      <c r="B95" s="202">
        <f>B10</f>
        <v>150</v>
      </c>
      <c r="C95" s="202">
        <f>D10</f>
        <v>180</v>
      </c>
      <c r="D95" s="202">
        <f>C10</f>
        <v>100</v>
      </c>
      <c r="E95" s="204" t="s">
        <v>242</v>
      </c>
      <c r="F95"/>
    </row>
    <row r="96" spans="1:6" x14ac:dyDescent="0.25">
      <c r="A96" t="s">
        <v>312</v>
      </c>
      <c r="B96" s="203">
        <v>0.8</v>
      </c>
      <c r="C96" s="203">
        <v>0.8</v>
      </c>
      <c r="D96" s="203">
        <v>0.8</v>
      </c>
      <c r="E96" t="s">
        <v>240</v>
      </c>
      <c r="F96" t="s">
        <v>478</v>
      </c>
    </row>
    <row r="97" spans="1:6" x14ac:dyDescent="0.25">
      <c r="A97" t="s">
        <v>251</v>
      </c>
      <c r="B97" s="253">
        <f>B70*$D$109+$D$110</f>
        <v>639.36518181818178</v>
      </c>
      <c r="C97" s="253">
        <f t="shared" ref="C97:D97" si="11">C70*$D$109+$D$110</f>
        <v>424.50745454545444</v>
      </c>
      <c r="D97" s="253">
        <f t="shared" si="11"/>
        <v>768.27981818181809</v>
      </c>
      <c r="E97" t="s">
        <v>252</v>
      </c>
      <c r="F97"/>
    </row>
    <row r="98" spans="1:6" x14ac:dyDescent="0.25">
      <c r="A98" t="s">
        <v>253</v>
      </c>
      <c r="B98" s="253">
        <v>2447</v>
      </c>
      <c r="C98" s="253">
        <v>2447</v>
      </c>
      <c r="D98" s="253">
        <v>2447</v>
      </c>
      <c r="E98" t="s">
        <v>437</v>
      </c>
      <c r="F98" t="s">
        <v>483</v>
      </c>
    </row>
    <row r="99" spans="1:6" x14ac:dyDescent="0.25">
      <c r="A99" t="s">
        <v>254</v>
      </c>
      <c r="B99" s="253">
        <f>B98-B97</f>
        <v>1807.6348181818182</v>
      </c>
      <c r="C99" s="253">
        <f t="shared" ref="C99:D99" si="12">C98-C97</f>
        <v>2022.4925454545455</v>
      </c>
      <c r="D99" s="253">
        <f t="shared" si="12"/>
        <v>1678.720181818182</v>
      </c>
      <c r="E99" t="s">
        <v>252</v>
      </c>
      <c r="F99"/>
    </row>
    <row r="100" spans="1:6" x14ac:dyDescent="0.25">
      <c r="A100" t="s">
        <v>255</v>
      </c>
      <c r="B100" s="253">
        <v>37850</v>
      </c>
      <c r="C100" s="253">
        <v>37850</v>
      </c>
      <c r="D100" s="253">
        <v>37850</v>
      </c>
      <c r="E100" t="s">
        <v>256</v>
      </c>
      <c r="F100"/>
    </row>
    <row r="101" spans="1:6" x14ac:dyDescent="0.25">
      <c r="A101" t="s">
        <v>257</v>
      </c>
      <c r="B101" s="253">
        <f>B92*1000*B99/B100/B96</f>
        <v>208.94061636844003</v>
      </c>
      <c r="C101" s="253">
        <f t="shared" ref="C101:D101" si="13">C92*1000*C99/C100/C96</f>
        <v>173.66184340098474</v>
      </c>
      <c r="D101" s="253">
        <f t="shared" si="13"/>
        <v>327.09541191305397</v>
      </c>
      <c r="E101" t="s">
        <v>234</v>
      </c>
      <c r="F101"/>
    </row>
    <row r="102" spans="1:6" x14ac:dyDescent="0.25">
      <c r="A102" s="200" t="s">
        <v>258</v>
      </c>
      <c r="B102" s="253"/>
      <c r="C102" s="257"/>
      <c r="D102" s="257"/>
      <c r="E102"/>
      <c r="F102"/>
    </row>
    <row r="103" spans="1:6" x14ac:dyDescent="0.25">
      <c r="A103" s="204" t="s">
        <v>259</v>
      </c>
      <c r="B103" s="253">
        <f>B6</f>
        <v>51.4</v>
      </c>
      <c r="C103" s="253">
        <f>D6</f>
        <v>86.6</v>
      </c>
      <c r="D103" s="253">
        <f>C6</f>
        <v>29.2</v>
      </c>
      <c r="E103" s="204" t="s">
        <v>234</v>
      </c>
      <c r="F103"/>
    </row>
    <row r="104" spans="1:6" x14ac:dyDescent="0.25">
      <c r="A104" s="204" t="s">
        <v>260</v>
      </c>
      <c r="B104" s="253">
        <f>B101</f>
        <v>208.94061636844003</v>
      </c>
      <c r="C104" s="253">
        <f t="shared" ref="C104:D104" si="14">C101</f>
        <v>173.66184340098474</v>
      </c>
      <c r="D104" s="253">
        <f t="shared" si="14"/>
        <v>327.09541191305397</v>
      </c>
      <c r="E104" s="204" t="s">
        <v>234</v>
      </c>
      <c r="F104"/>
    </row>
    <row r="105" spans="1:6" x14ac:dyDescent="0.25">
      <c r="A105" s="204" t="s">
        <v>261</v>
      </c>
      <c r="B105" s="253">
        <f>B104-B103</f>
        <v>157.54061636844003</v>
      </c>
      <c r="C105" s="253">
        <f t="shared" ref="C105:D105" si="15">C104-C103</f>
        <v>87.061843400984742</v>
      </c>
      <c r="D105" s="253">
        <f t="shared" si="15"/>
        <v>297.89541191305398</v>
      </c>
      <c r="E105" s="204" t="s">
        <v>234</v>
      </c>
      <c r="F105"/>
    </row>
    <row r="106" spans="1:6" x14ac:dyDescent="0.25">
      <c r="A106" s="204" t="s">
        <v>292</v>
      </c>
      <c r="B106"/>
      <c r="C106"/>
      <c r="D106"/>
      <c r="E106"/>
      <c r="F106"/>
    </row>
    <row r="107" spans="1:6" x14ac:dyDescent="0.25">
      <c r="A107" s="200" t="s">
        <v>262</v>
      </c>
      <c r="B107"/>
      <c r="C107"/>
      <c r="D107"/>
      <c r="E107"/>
      <c r="F107"/>
    </row>
    <row r="108" spans="1:6" ht="18" x14ac:dyDescent="0.35">
      <c r="A108" s="202" t="s">
        <v>263</v>
      </c>
      <c r="B108" s="202" t="s">
        <v>269</v>
      </c>
      <c r="C108"/>
      <c r="D108"/>
      <c r="E108"/>
      <c r="F108" s="204" t="s">
        <v>482</v>
      </c>
    </row>
    <row r="109" spans="1:6" x14ac:dyDescent="0.25">
      <c r="A109" s="202">
        <v>100</v>
      </c>
      <c r="B109" s="242">
        <v>424.36</v>
      </c>
      <c r="C109" t="s">
        <v>439</v>
      </c>
      <c r="D109">
        <f>SLOPE(B109:B119,A109:A119)</f>
        <v>4.2971545454545454</v>
      </c>
      <c r="E109"/>
      <c r="F109" s="204" t="s">
        <v>482</v>
      </c>
    </row>
    <row r="110" spans="1:6" x14ac:dyDescent="0.25">
      <c r="A110" s="202">
        <v>110</v>
      </c>
      <c r="B110" s="242">
        <v>466.41</v>
      </c>
      <c r="C110" t="s">
        <v>440</v>
      </c>
      <c r="D110">
        <f>INTERCEPT(B109:B118,A109:A118)</f>
        <v>-5.2080000000000837</v>
      </c>
      <c r="E110"/>
      <c r="F110" s="204" t="s">
        <v>482</v>
      </c>
    </row>
    <row r="111" spans="1:6" x14ac:dyDescent="0.25">
      <c r="A111" s="202">
        <v>120</v>
      </c>
      <c r="B111" s="242">
        <v>508.61</v>
      </c>
      <c r="C111"/>
      <c r="D111"/>
      <c r="E111"/>
      <c r="F111" s="204" t="s">
        <v>482</v>
      </c>
    </row>
    <row r="112" spans="1:6" x14ac:dyDescent="0.25">
      <c r="A112" s="202">
        <v>130</v>
      </c>
      <c r="B112" s="242">
        <v>550.95000000000005</v>
      </c>
      <c r="C112"/>
      <c r="D112"/>
      <c r="E112"/>
      <c r="F112" s="204" t="s">
        <v>482</v>
      </c>
    </row>
    <row r="113" spans="1:9" x14ac:dyDescent="0.25">
      <c r="A113" s="202">
        <v>140</v>
      </c>
      <c r="B113" s="242">
        <v>593.48</v>
      </c>
      <c r="C113"/>
      <c r="D113"/>
      <c r="E113"/>
      <c r="F113" s="204" t="s">
        <v>482</v>
      </c>
    </row>
    <row r="114" spans="1:9" x14ac:dyDescent="0.25">
      <c r="A114" s="202">
        <v>150</v>
      </c>
      <c r="B114" s="242">
        <v>636.23</v>
      </c>
      <c r="C114"/>
      <c r="D114"/>
      <c r="E114"/>
      <c r="F114" s="204" t="s">
        <v>482</v>
      </c>
      <c r="I114" t="s">
        <v>478</v>
      </c>
    </row>
    <row r="115" spans="1:9" x14ac:dyDescent="0.25">
      <c r="A115" s="202">
        <v>160</v>
      </c>
      <c r="B115" s="242">
        <v>679.22</v>
      </c>
      <c r="C115"/>
      <c r="D115"/>
      <c r="E115"/>
      <c r="F115" s="204" t="s">
        <v>482</v>
      </c>
    </row>
    <row r="116" spans="1:9" x14ac:dyDescent="0.25">
      <c r="A116" s="202">
        <v>170</v>
      </c>
      <c r="B116" s="242">
        <v>722.51</v>
      </c>
      <c r="C116"/>
      <c r="D116"/>
      <c r="E116"/>
      <c r="F116" s="204" t="s">
        <v>482</v>
      </c>
    </row>
    <row r="117" spans="1:9" x14ac:dyDescent="0.25">
      <c r="A117" s="202">
        <v>180</v>
      </c>
      <c r="B117" s="242">
        <v>766.11</v>
      </c>
      <c r="C117"/>
      <c r="D117"/>
      <c r="E117"/>
      <c r="F117" s="204" t="s">
        <v>482</v>
      </c>
    </row>
    <row r="118" spans="1:9" x14ac:dyDescent="0.25">
      <c r="A118" s="202">
        <v>190</v>
      </c>
      <c r="B118" s="242">
        <v>810.1</v>
      </c>
      <c r="C118"/>
      <c r="D118"/>
      <c r="E118"/>
      <c r="F118" s="204" t="s">
        <v>482</v>
      </c>
    </row>
    <row r="119" spans="1:9" x14ac:dyDescent="0.25">
      <c r="A119" s="202">
        <v>200</v>
      </c>
      <c r="B119" s="243">
        <v>854.51</v>
      </c>
      <c r="C119"/>
      <c r="D119"/>
      <c r="E119"/>
      <c r="F119" s="204" t="s">
        <v>482</v>
      </c>
    </row>
    <row r="120" spans="1:9" x14ac:dyDescent="0.25">
      <c r="A120" s="202">
        <f>(760-420)/8</f>
        <v>42.5</v>
      </c>
      <c r="B120" s="202"/>
      <c r="C120"/>
      <c r="D120"/>
      <c r="E120"/>
      <c r="F12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13" sqref="F13"/>
    </sheetView>
  </sheetViews>
  <sheetFormatPr defaultColWidth="9.140625" defaultRowHeight="12.75" x14ac:dyDescent="0.2"/>
  <cols>
    <col min="1" max="3" width="9.140625" style="180"/>
    <col min="4" max="4" width="5" style="180" customWidth="1"/>
    <col min="5" max="5" width="8.5703125" style="180" customWidth="1"/>
    <col min="6" max="6" width="23.42578125" style="180" customWidth="1"/>
    <col min="7" max="7" width="11" style="180" bestFit="1" customWidth="1"/>
    <col min="8" max="259" width="9.140625" style="180"/>
    <col min="260" max="260" width="13.42578125" style="180" bestFit="1" customWidth="1"/>
    <col min="261" max="261" width="16.42578125" style="180" bestFit="1" customWidth="1"/>
    <col min="262" max="262" width="23.42578125" style="180" customWidth="1"/>
    <col min="263" max="263" width="11" style="180" bestFit="1" customWidth="1"/>
    <col min="264" max="515" width="9.140625" style="180"/>
    <col min="516" max="516" width="13.42578125" style="180" bestFit="1" customWidth="1"/>
    <col min="517" max="517" width="16.42578125" style="180" bestFit="1" customWidth="1"/>
    <col min="518" max="518" width="23.42578125" style="180" customWidth="1"/>
    <col min="519" max="519" width="11" style="180" bestFit="1" customWidth="1"/>
    <col min="520" max="771" width="9.140625" style="180"/>
    <col min="772" max="772" width="13.42578125" style="180" bestFit="1" customWidth="1"/>
    <col min="773" max="773" width="16.42578125" style="180" bestFit="1" customWidth="1"/>
    <col min="774" max="774" width="23.42578125" style="180" customWidth="1"/>
    <col min="775" max="775" width="11" style="180" bestFit="1" customWidth="1"/>
    <col min="776" max="1027" width="9.140625" style="180"/>
    <col min="1028" max="1028" width="13.42578125" style="180" bestFit="1" customWidth="1"/>
    <col min="1029" max="1029" width="16.42578125" style="180" bestFit="1" customWidth="1"/>
    <col min="1030" max="1030" width="23.42578125" style="180" customWidth="1"/>
    <col min="1031" max="1031" width="11" style="180" bestFit="1" customWidth="1"/>
    <col min="1032" max="1283" width="9.140625" style="180"/>
    <col min="1284" max="1284" width="13.42578125" style="180" bestFit="1" customWidth="1"/>
    <col min="1285" max="1285" width="16.42578125" style="180" bestFit="1" customWidth="1"/>
    <col min="1286" max="1286" width="23.42578125" style="180" customWidth="1"/>
    <col min="1287" max="1287" width="11" style="180" bestFit="1" customWidth="1"/>
    <col min="1288" max="1539" width="9.140625" style="180"/>
    <col min="1540" max="1540" width="13.42578125" style="180" bestFit="1" customWidth="1"/>
    <col min="1541" max="1541" width="16.42578125" style="180" bestFit="1" customWidth="1"/>
    <col min="1542" max="1542" width="23.42578125" style="180" customWidth="1"/>
    <col min="1543" max="1543" width="11" style="180" bestFit="1" customWidth="1"/>
    <col min="1544" max="1795" width="9.140625" style="180"/>
    <col min="1796" max="1796" width="13.42578125" style="180" bestFit="1" customWidth="1"/>
    <col min="1797" max="1797" width="16.42578125" style="180" bestFit="1" customWidth="1"/>
    <col min="1798" max="1798" width="23.42578125" style="180" customWidth="1"/>
    <col min="1799" max="1799" width="11" style="180" bestFit="1" customWidth="1"/>
    <col min="1800" max="2051" width="9.140625" style="180"/>
    <col min="2052" max="2052" width="13.42578125" style="180" bestFit="1" customWidth="1"/>
    <col min="2053" max="2053" width="16.42578125" style="180" bestFit="1" customWidth="1"/>
    <col min="2054" max="2054" width="23.42578125" style="180" customWidth="1"/>
    <col min="2055" max="2055" width="11" style="180" bestFit="1" customWidth="1"/>
    <col min="2056" max="2307" width="9.140625" style="180"/>
    <col min="2308" max="2308" width="13.42578125" style="180" bestFit="1" customWidth="1"/>
    <col min="2309" max="2309" width="16.42578125" style="180" bestFit="1" customWidth="1"/>
    <col min="2310" max="2310" width="23.42578125" style="180" customWidth="1"/>
    <col min="2311" max="2311" width="11" style="180" bestFit="1" customWidth="1"/>
    <col min="2312" max="2563" width="9.140625" style="180"/>
    <col min="2564" max="2564" width="13.42578125" style="180" bestFit="1" customWidth="1"/>
    <col min="2565" max="2565" width="16.42578125" style="180" bestFit="1" customWidth="1"/>
    <col min="2566" max="2566" width="23.42578125" style="180" customWidth="1"/>
    <col min="2567" max="2567" width="11" style="180" bestFit="1" customWidth="1"/>
    <col min="2568" max="2819" width="9.140625" style="180"/>
    <col min="2820" max="2820" width="13.42578125" style="180" bestFit="1" customWidth="1"/>
    <col min="2821" max="2821" width="16.42578125" style="180" bestFit="1" customWidth="1"/>
    <col min="2822" max="2822" width="23.42578125" style="180" customWidth="1"/>
    <col min="2823" max="2823" width="11" style="180" bestFit="1" customWidth="1"/>
    <col min="2824" max="3075" width="9.140625" style="180"/>
    <col min="3076" max="3076" width="13.42578125" style="180" bestFit="1" customWidth="1"/>
    <col min="3077" max="3077" width="16.42578125" style="180" bestFit="1" customWidth="1"/>
    <col min="3078" max="3078" width="23.42578125" style="180" customWidth="1"/>
    <col min="3079" max="3079" width="11" style="180" bestFit="1" customWidth="1"/>
    <col min="3080" max="3331" width="9.140625" style="180"/>
    <col min="3332" max="3332" width="13.42578125" style="180" bestFit="1" customWidth="1"/>
    <col min="3333" max="3333" width="16.42578125" style="180" bestFit="1" customWidth="1"/>
    <col min="3334" max="3334" width="23.42578125" style="180" customWidth="1"/>
    <col min="3335" max="3335" width="11" style="180" bestFit="1" customWidth="1"/>
    <col min="3336" max="3587" width="9.140625" style="180"/>
    <col min="3588" max="3588" width="13.42578125" style="180" bestFit="1" customWidth="1"/>
    <col min="3589" max="3589" width="16.42578125" style="180" bestFit="1" customWidth="1"/>
    <col min="3590" max="3590" width="23.42578125" style="180" customWidth="1"/>
    <col min="3591" max="3591" width="11" style="180" bestFit="1" customWidth="1"/>
    <col min="3592" max="3843" width="9.140625" style="180"/>
    <col min="3844" max="3844" width="13.42578125" style="180" bestFit="1" customWidth="1"/>
    <col min="3845" max="3845" width="16.42578125" style="180" bestFit="1" customWidth="1"/>
    <col min="3846" max="3846" width="23.42578125" style="180" customWidth="1"/>
    <col min="3847" max="3847" width="11" style="180" bestFit="1" customWidth="1"/>
    <col min="3848" max="4099" width="9.140625" style="180"/>
    <col min="4100" max="4100" width="13.42578125" style="180" bestFit="1" customWidth="1"/>
    <col min="4101" max="4101" width="16.42578125" style="180" bestFit="1" customWidth="1"/>
    <col min="4102" max="4102" width="23.42578125" style="180" customWidth="1"/>
    <col min="4103" max="4103" width="11" style="180" bestFit="1" customWidth="1"/>
    <col min="4104" max="4355" width="9.140625" style="180"/>
    <col min="4356" max="4356" width="13.42578125" style="180" bestFit="1" customWidth="1"/>
    <col min="4357" max="4357" width="16.42578125" style="180" bestFit="1" customWidth="1"/>
    <col min="4358" max="4358" width="23.42578125" style="180" customWidth="1"/>
    <col min="4359" max="4359" width="11" style="180" bestFit="1" customWidth="1"/>
    <col min="4360" max="4611" width="9.140625" style="180"/>
    <col min="4612" max="4612" width="13.42578125" style="180" bestFit="1" customWidth="1"/>
    <col min="4613" max="4613" width="16.42578125" style="180" bestFit="1" customWidth="1"/>
    <col min="4614" max="4614" width="23.42578125" style="180" customWidth="1"/>
    <col min="4615" max="4615" width="11" style="180" bestFit="1" customWidth="1"/>
    <col min="4616" max="4867" width="9.140625" style="180"/>
    <col min="4868" max="4868" width="13.42578125" style="180" bestFit="1" customWidth="1"/>
    <col min="4869" max="4869" width="16.42578125" style="180" bestFit="1" customWidth="1"/>
    <col min="4870" max="4870" width="23.42578125" style="180" customWidth="1"/>
    <col min="4871" max="4871" width="11" style="180" bestFit="1" customWidth="1"/>
    <col min="4872" max="5123" width="9.140625" style="180"/>
    <col min="5124" max="5124" width="13.42578125" style="180" bestFit="1" customWidth="1"/>
    <col min="5125" max="5125" width="16.42578125" style="180" bestFit="1" customWidth="1"/>
    <col min="5126" max="5126" width="23.42578125" style="180" customWidth="1"/>
    <col min="5127" max="5127" width="11" style="180" bestFit="1" customWidth="1"/>
    <col min="5128" max="5379" width="9.140625" style="180"/>
    <col min="5380" max="5380" width="13.42578125" style="180" bestFit="1" customWidth="1"/>
    <col min="5381" max="5381" width="16.42578125" style="180" bestFit="1" customWidth="1"/>
    <col min="5382" max="5382" width="23.42578125" style="180" customWidth="1"/>
    <col min="5383" max="5383" width="11" style="180" bestFit="1" customWidth="1"/>
    <col min="5384" max="5635" width="9.140625" style="180"/>
    <col min="5636" max="5636" width="13.42578125" style="180" bestFit="1" customWidth="1"/>
    <col min="5637" max="5637" width="16.42578125" style="180" bestFit="1" customWidth="1"/>
    <col min="5638" max="5638" width="23.42578125" style="180" customWidth="1"/>
    <col min="5639" max="5639" width="11" style="180" bestFit="1" customWidth="1"/>
    <col min="5640" max="5891" width="9.140625" style="180"/>
    <col min="5892" max="5892" width="13.42578125" style="180" bestFit="1" customWidth="1"/>
    <col min="5893" max="5893" width="16.42578125" style="180" bestFit="1" customWidth="1"/>
    <col min="5894" max="5894" width="23.42578125" style="180" customWidth="1"/>
    <col min="5895" max="5895" width="11" style="180" bestFit="1" customWidth="1"/>
    <col min="5896" max="6147" width="9.140625" style="180"/>
    <col min="6148" max="6148" width="13.42578125" style="180" bestFit="1" customWidth="1"/>
    <col min="6149" max="6149" width="16.42578125" style="180" bestFit="1" customWidth="1"/>
    <col min="6150" max="6150" width="23.42578125" style="180" customWidth="1"/>
    <col min="6151" max="6151" width="11" style="180" bestFit="1" customWidth="1"/>
    <col min="6152" max="6403" width="9.140625" style="180"/>
    <col min="6404" max="6404" width="13.42578125" style="180" bestFit="1" customWidth="1"/>
    <col min="6405" max="6405" width="16.42578125" style="180" bestFit="1" customWidth="1"/>
    <col min="6406" max="6406" width="23.42578125" style="180" customWidth="1"/>
    <col min="6407" max="6407" width="11" style="180" bestFit="1" customWidth="1"/>
    <col min="6408" max="6659" width="9.140625" style="180"/>
    <col min="6660" max="6660" width="13.42578125" style="180" bestFit="1" customWidth="1"/>
    <col min="6661" max="6661" width="16.42578125" style="180" bestFit="1" customWidth="1"/>
    <col min="6662" max="6662" width="23.42578125" style="180" customWidth="1"/>
    <col min="6663" max="6663" width="11" style="180" bestFit="1" customWidth="1"/>
    <col min="6664" max="6915" width="9.140625" style="180"/>
    <col min="6916" max="6916" width="13.42578125" style="180" bestFit="1" customWidth="1"/>
    <col min="6917" max="6917" width="16.42578125" style="180" bestFit="1" customWidth="1"/>
    <col min="6918" max="6918" width="23.42578125" style="180" customWidth="1"/>
    <col min="6919" max="6919" width="11" style="180" bestFit="1" customWidth="1"/>
    <col min="6920" max="7171" width="9.140625" style="180"/>
    <col min="7172" max="7172" width="13.42578125" style="180" bestFit="1" customWidth="1"/>
    <col min="7173" max="7173" width="16.42578125" style="180" bestFit="1" customWidth="1"/>
    <col min="7174" max="7174" width="23.42578125" style="180" customWidth="1"/>
    <col min="7175" max="7175" width="11" style="180" bestFit="1" customWidth="1"/>
    <col min="7176" max="7427" width="9.140625" style="180"/>
    <col min="7428" max="7428" width="13.42578125" style="180" bestFit="1" customWidth="1"/>
    <col min="7429" max="7429" width="16.42578125" style="180" bestFit="1" customWidth="1"/>
    <col min="7430" max="7430" width="23.42578125" style="180" customWidth="1"/>
    <col min="7431" max="7431" width="11" style="180" bestFit="1" customWidth="1"/>
    <col min="7432" max="7683" width="9.140625" style="180"/>
    <col min="7684" max="7684" width="13.42578125" style="180" bestFit="1" customWidth="1"/>
    <col min="7685" max="7685" width="16.42578125" style="180" bestFit="1" customWidth="1"/>
    <col min="7686" max="7686" width="23.42578125" style="180" customWidth="1"/>
    <col min="7687" max="7687" width="11" style="180" bestFit="1" customWidth="1"/>
    <col min="7688" max="7939" width="9.140625" style="180"/>
    <col min="7940" max="7940" width="13.42578125" style="180" bestFit="1" customWidth="1"/>
    <col min="7941" max="7941" width="16.42578125" style="180" bestFit="1" customWidth="1"/>
    <col min="7942" max="7942" width="23.42578125" style="180" customWidth="1"/>
    <col min="7943" max="7943" width="11" style="180" bestFit="1" customWidth="1"/>
    <col min="7944" max="8195" width="9.140625" style="180"/>
    <col min="8196" max="8196" width="13.42578125" style="180" bestFit="1" customWidth="1"/>
    <col min="8197" max="8197" width="16.42578125" style="180" bestFit="1" customWidth="1"/>
    <col min="8198" max="8198" width="23.42578125" style="180" customWidth="1"/>
    <col min="8199" max="8199" width="11" style="180" bestFit="1" customWidth="1"/>
    <col min="8200" max="8451" width="9.140625" style="180"/>
    <col min="8452" max="8452" width="13.42578125" style="180" bestFit="1" customWidth="1"/>
    <col min="8453" max="8453" width="16.42578125" style="180" bestFit="1" customWidth="1"/>
    <col min="8454" max="8454" width="23.42578125" style="180" customWidth="1"/>
    <col min="8455" max="8455" width="11" style="180" bestFit="1" customWidth="1"/>
    <col min="8456" max="8707" width="9.140625" style="180"/>
    <col min="8708" max="8708" width="13.42578125" style="180" bestFit="1" customWidth="1"/>
    <col min="8709" max="8709" width="16.42578125" style="180" bestFit="1" customWidth="1"/>
    <col min="8710" max="8710" width="23.42578125" style="180" customWidth="1"/>
    <col min="8711" max="8711" width="11" style="180" bestFit="1" customWidth="1"/>
    <col min="8712" max="8963" width="9.140625" style="180"/>
    <col min="8964" max="8964" width="13.42578125" style="180" bestFit="1" customWidth="1"/>
    <col min="8965" max="8965" width="16.42578125" style="180" bestFit="1" customWidth="1"/>
    <col min="8966" max="8966" width="23.42578125" style="180" customWidth="1"/>
    <col min="8967" max="8967" width="11" style="180" bestFit="1" customWidth="1"/>
    <col min="8968" max="9219" width="9.140625" style="180"/>
    <col min="9220" max="9220" width="13.42578125" style="180" bestFit="1" customWidth="1"/>
    <col min="9221" max="9221" width="16.42578125" style="180" bestFit="1" customWidth="1"/>
    <col min="9222" max="9222" width="23.42578125" style="180" customWidth="1"/>
    <col min="9223" max="9223" width="11" style="180" bestFit="1" customWidth="1"/>
    <col min="9224" max="9475" width="9.140625" style="180"/>
    <col min="9476" max="9476" width="13.42578125" style="180" bestFit="1" customWidth="1"/>
    <col min="9477" max="9477" width="16.42578125" style="180" bestFit="1" customWidth="1"/>
    <col min="9478" max="9478" width="23.42578125" style="180" customWidth="1"/>
    <col min="9479" max="9479" width="11" style="180" bestFit="1" customWidth="1"/>
    <col min="9480" max="9731" width="9.140625" style="180"/>
    <col min="9732" max="9732" width="13.42578125" style="180" bestFit="1" customWidth="1"/>
    <col min="9733" max="9733" width="16.42578125" style="180" bestFit="1" customWidth="1"/>
    <col min="9734" max="9734" width="23.42578125" style="180" customWidth="1"/>
    <col min="9735" max="9735" width="11" style="180" bestFit="1" customWidth="1"/>
    <col min="9736" max="9987" width="9.140625" style="180"/>
    <col min="9988" max="9988" width="13.42578125" style="180" bestFit="1" customWidth="1"/>
    <col min="9989" max="9989" width="16.42578125" style="180" bestFit="1" customWidth="1"/>
    <col min="9990" max="9990" width="23.42578125" style="180" customWidth="1"/>
    <col min="9991" max="9991" width="11" style="180" bestFit="1" customWidth="1"/>
    <col min="9992" max="10243" width="9.140625" style="180"/>
    <col min="10244" max="10244" width="13.42578125" style="180" bestFit="1" customWidth="1"/>
    <col min="10245" max="10245" width="16.42578125" style="180" bestFit="1" customWidth="1"/>
    <col min="10246" max="10246" width="23.42578125" style="180" customWidth="1"/>
    <col min="10247" max="10247" width="11" style="180" bestFit="1" customWidth="1"/>
    <col min="10248" max="10499" width="9.140625" style="180"/>
    <col min="10500" max="10500" width="13.42578125" style="180" bestFit="1" customWidth="1"/>
    <col min="10501" max="10501" width="16.42578125" style="180" bestFit="1" customWidth="1"/>
    <col min="10502" max="10502" width="23.42578125" style="180" customWidth="1"/>
    <col min="10503" max="10503" width="11" style="180" bestFit="1" customWidth="1"/>
    <col min="10504" max="10755" width="9.140625" style="180"/>
    <col min="10756" max="10756" width="13.42578125" style="180" bestFit="1" customWidth="1"/>
    <col min="10757" max="10757" width="16.42578125" style="180" bestFit="1" customWidth="1"/>
    <col min="10758" max="10758" width="23.42578125" style="180" customWidth="1"/>
    <col min="10759" max="10759" width="11" style="180" bestFit="1" customWidth="1"/>
    <col min="10760" max="11011" width="9.140625" style="180"/>
    <col min="11012" max="11012" width="13.42578125" style="180" bestFit="1" customWidth="1"/>
    <col min="11013" max="11013" width="16.42578125" style="180" bestFit="1" customWidth="1"/>
    <col min="11014" max="11014" width="23.42578125" style="180" customWidth="1"/>
    <col min="11015" max="11015" width="11" style="180" bestFit="1" customWidth="1"/>
    <col min="11016" max="11267" width="9.140625" style="180"/>
    <col min="11268" max="11268" width="13.42578125" style="180" bestFit="1" customWidth="1"/>
    <col min="11269" max="11269" width="16.42578125" style="180" bestFit="1" customWidth="1"/>
    <col min="11270" max="11270" width="23.42578125" style="180" customWidth="1"/>
    <col min="11271" max="11271" width="11" style="180" bestFit="1" customWidth="1"/>
    <col min="11272" max="11523" width="9.140625" style="180"/>
    <col min="11524" max="11524" width="13.42578125" style="180" bestFit="1" customWidth="1"/>
    <col min="11525" max="11525" width="16.42578125" style="180" bestFit="1" customWidth="1"/>
    <col min="11526" max="11526" width="23.42578125" style="180" customWidth="1"/>
    <col min="11527" max="11527" width="11" style="180" bestFit="1" customWidth="1"/>
    <col min="11528" max="11779" width="9.140625" style="180"/>
    <col min="11780" max="11780" width="13.42578125" style="180" bestFit="1" customWidth="1"/>
    <col min="11781" max="11781" width="16.42578125" style="180" bestFit="1" customWidth="1"/>
    <col min="11782" max="11782" width="23.42578125" style="180" customWidth="1"/>
    <col min="11783" max="11783" width="11" style="180" bestFit="1" customWidth="1"/>
    <col min="11784" max="12035" width="9.140625" style="180"/>
    <col min="12036" max="12036" width="13.42578125" style="180" bestFit="1" customWidth="1"/>
    <col min="12037" max="12037" width="16.42578125" style="180" bestFit="1" customWidth="1"/>
    <col min="12038" max="12038" width="23.42578125" style="180" customWidth="1"/>
    <col min="12039" max="12039" width="11" style="180" bestFit="1" customWidth="1"/>
    <col min="12040" max="12291" width="9.140625" style="180"/>
    <col min="12292" max="12292" width="13.42578125" style="180" bestFit="1" customWidth="1"/>
    <col min="12293" max="12293" width="16.42578125" style="180" bestFit="1" customWidth="1"/>
    <col min="12294" max="12294" width="23.42578125" style="180" customWidth="1"/>
    <col min="12295" max="12295" width="11" style="180" bestFit="1" customWidth="1"/>
    <col min="12296" max="12547" width="9.140625" style="180"/>
    <col min="12548" max="12548" width="13.42578125" style="180" bestFit="1" customWidth="1"/>
    <col min="12549" max="12549" width="16.42578125" style="180" bestFit="1" customWidth="1"/>
    <col min="12550" max="12550" width="23.42578125" style="180" customWidth="1"/>
    <col min="12551" max="12551" width="11" style="180" bestFit="1" customWidth="1"/>
    <col min="12552" max="12803" width="9.140625" style="180"/>
    <col min="12804" max="12804" width="13.42578125" style="180" bestFit="1" customWidth="1"/>
    <col min="12805" max="12805" width="16.42578125" style="180" bestFit="1" customWidth="1"/>
    <col min="12806" max="12806" width="23.42578125" style="180" customWidth="1"/>
    <col min="12807" max="12807" width="11" style="180" bestFit="1" customWidth="1"/>
    <col min="12808" max="13059" width="9.140625" style="180"/>
    <col min="13060" max="13060" width="13.42578125" style="180" bestFit="1" customWidth="1"/>
    <col min="13061" max="13061" width="16.42578125" style="180" bestFit="1" customWidth="1"/>
    <col min="13062" max="13062" width="23.42578125" style="180" customWidth="1"/>
    <col min="13063" max="13063" width="11" style="180" bestFit="1" customWidth="1"/>
    <col min="13064" max="13315" width="9.140625" style="180"/>
    <col min="13316" max="13316" width="13.42578125" style="180" bestFit="1" customWidth="1"/>
    <col min="13317" max="13317" width="16.42578125" style="180" bestFit="1" customWidth="1"/>
    <col min="13318" max="13318" width="23.42578125" style="180" customWidth="1"/>
    <col min="13319" max="13319" width="11" style="180" bestFit="1" customWidth="1"/>
    <col min="13320" max="13571" width="9.140625" style="180"/>
    <col min="13572" max="13572" width="13.42578125" style="180" bestFit="1" customWidth="1"/>
    <col min="13573" max="13573" width="16.42578125" style="180" bestFit="1" customWidth="1"/>
    <col min="13574" max="13574" width="23.42578125" style="180" customWidth="1"/>
    <col min="13575" max="13575" width="11" style="180" bestFit="1" customWidth="1"/>
    <col min="13576" max="13827" width="9.140625" style="180"/>
    <col min="13828" max="13828" width="13.42578125" style="180" bestFit="1" customWidth="1"/>
    <col min="13829" max="13829" width="16.42578125" style="180" bestFit="1" customWidth="1"/>
    <col min="13830" max="13830" width="23.42578125" style="180" customWidth="1"/>
    <col min="13831" max="13831" width="11" style="180" bestFit="1" customWidth="1"/>
    <col min="13832" max="14083" width="9.140625" style="180"/>
    <col min="14084" max="14084" width="13.42578125" style="180" bestFit="1" customWidth="1"/>
    <col min="14085" max="14085" width="16.42578125" style="180" bestFit="1" customWidth="1"/>
    <col min="14086" max="14086" width="23.42578125" style="180" customWidth="1"/>
    <col min="14087" max="14087" width="11" style="180" bestFit="1" customWidth="1"/>
    <col min="14088" max="14339" width="9.140625" style="180"/>
    <col min="14340" max="14340" width="13.42578125" style="180" bestFit="1" customWidth="1"/>
    <col min="14341" max="14341" width="16.42578125" style="180" bestFit="1" customWidth="1"/>
    <col min="14342" max="14342" width="23.42578125" style="180" customWidth="1"/>
    <col min="14343" max="14343" width="11" style="180" bestFit="1" customWidth="1"/>
    <col min="14344" max="14595" width="9.140625" style="180"/>
    <col min="14596" max="14596" width="13.42578125" style="180" bestFit="1" customWidth="1"/>
    <col min="14597" max="14597" width="16.42578125" style="180" bestFit="1" customWidth="1"/>
    <col min="14598" max="14598" width="23.42578125" style="180" customWidth="1"/>
    <col min="14599" max="14599" width="11" style="180" bestFit="1" customWidth="1"/>
    <col min="14600" max="14851" width="9.140625" style="180"/>
    <col min="14852" max="14852" width="13.42578125" style="180" bestFit="1" customWidth="1"/>
    <col min="14853" max="14853" width="16.42578125" style="180" bestFit="1" customWidth="1"/>
    <col min="14854" max="14854" width="23.42578125" style="180" customWidth="1"/>
    <col min="14855" max="14855" width="11" style="180" bestFit="1" customWidth="1"/>
    <col min="14856" max="15107" width="9.140625" style="180"/>
    <col min="15108" max="15108" width="13.42578125" style="180" bestFit="1" customWidth="1"/>
    <col min="15109" max="15109" width="16.42578125" style="180" bestFit="1" customWidth="1"/>
    <col min="15110" max="15110" width="23.42578125" style="180" customWidth="1"/>
    <col min="15111" max="15111" width="11" style="180" bestFit="1" customWidth="1"/>
    <col min="15112" max="15363" width="9.140625" style="180"/>
    <col min="15364" max="15364" width="13.42578125" style="180" bestFit="1" customWidth="1"/>
    <col min="15365" max="15365" width="16.42578125" style="180" bestFit="1" customWidth="1"/>
    <col min="15366" max="15366" width="23.42578125" style="180" customWidth="1"/>
    <col min="15367" max="15367" width="11" style="180" bestFit="1" customWidth="1"/>
    <col min="15368" max="15619" width="9.140625" style="180"/>
    <col min="15620" max="15620" width="13.42578125" style="180" bestFit="1" customWidth="1"/>
    <col min="15621" max="15621" width="16.42578125" style="180" bestFit="1" customWidth="1"/>
    <col min="15622" max="15622" width="23.42578125" style="180" customWidth="1"/>
    <col min="15623" max="15623" width="11" style="180" bestFit="1" customWidth="1"/>
    <col min="15624" max="15875" width="9.140625" style="180"/>
    <col min="15876" max="15876" width="13.42578125" style="180" bestFit="1" customWidth="1"/>
    <col min="15877" max="15877" width="16.42578125" style="180" bestFit="1" customWidth="1"/>
    <col min="15878" max="15878" width="23.42578125" style="180" customWidth="1"/>
    <col min="15879" max="15879" width="11" style="180" bestFit="1" customWidth="1"/>
    <col min="15880" max="16131" width="9.140625" style="180"/>
    <col min="16132" max="16132" width="13.42578125" style="180" bestFit="1" customWidth="1"/>
    <col min="16133" max="16133" width="16.42578125" style="180" bestFit="1" customWidth="1"/>
    <col min="16134" max="16134" width="23.42578125" style="180" customWidth="1"/>
    <col min="16135" max="16135" width="11" style="180" bestFit="1" customWidth="1"/>
    <col min="16136" max="16384" width="9.140625" style="180"/>
  </cols>
  <sheetData>
    <row r="1" spans="1:38" ht="20.25" x14ac:dyDescent="0.3">
      <c r="A1" s="181"/>
      <c r="B1" s="182"/>
      <c r="C1" s="181"/>
      <c r="D1" s="182"/>
      <c r="E1" s="181"/>
      <c r="F1" s="181"/>
      <c r="G1" s="181"/>
      <c r="H1" s="76" t="s">
        <v>20</v>
      </c>
      <c r="I1" s="183"/>
      <c r="J1" s="183"/>
      <c r="K1" s="183"/>
      <c r="L1" s="183"/>
      <c r="M1" s="183"/>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row>
    <row r="2" spans="1:38" x14ac:dyDescent="0.2">
      <c r="A2" s="183"/>
      <c r="B2" s="362"/>
      <c r="C2" s="362"/>
      <c r="D2" s="362"/>
      <c r="E2" s="362"/>
      <c r="F2" s="184"/>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row>
    <row r="3" spans="1:38" x14ac:dyDescent="0.2">
      <c r="A3" s="183"/>
      <c r="B3" s="363" t="s">
        <v>222</v>
      </c>
      <c r="C3" s="363"/>
      <c r="D3" s="363"/>
      <c r="E3" s="363"/>
      <c r="F3" s="185" t="s">
        <v>63</v>
      </c>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row>
    <row r="4" spans="1:38" ht="14.25" x14ac:dyDescent="0.2">
      <c r="A4" s="183"/>
      <c r="B4" s="183"/>
      <c r="C4" s="183">
        <v>1</v>
      </c>
      <c r="D4" s="183" t="s">
        <v>266</v>
      </c>
      <c r="E4" s="183">
        <v>2.83168E-2</v>
      </c>
      <c r="F4" s="183" t="s">
        <v>265</v>
      </c>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row>
    <row r="5" spans="1:38" x14ac:dyDescent="0.2">
      <c r="A5" s="183"/>
      <c r="B5" s="186"/>
      <c r="C5" s="180">
        <v>1</v>
      </c>
      <c r="D5" s="180" t="s">
        <v>267</v>
      </c>
      <c r="E5" s="180">
        <v>1.05505585</v>
      </c>
      <c r="F5" s="180" t="s">
        <v>268</v>
      </c>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1:38" x14ac:dyDescent="0.2">
      <c r="A6" s="183"/>
      <c r="B6" s="187"/>
      <c r="C6" s="180">
        <v>1</v>
      </c>
      <c r="D6" s="180" t="s">
        <v>275</v>
      </c>
      <c r="E6" s="180">
        <v>1E-3</v>
      </c>
      <c r="F6" s="180" t="s">
        <v>276</v>
      </c>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row>
    <row r="7" spans="1:38" x14ac:dyDescent="0.2">
      <c r="A7" s="183"/>
      <c r="B7" s="186"/>
      <c r="C7" s="180">
        <v>1</v>
      </c>
      <c r="D7" s="180" t="s">
        <v>319</v>
      </c>
      <c r="E7" s="180">
        <v>1000</v>
      </c>
      <c r="F7" s="180" t="s">
        <v>320</v>
      </c>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row>
    <row r="8" spans="1:38" x14ac:dyDescent="0.2">
      <c r="A8" s="183"/>
      <c r="B8" s="187"/>
      <c r="C8" s="180">
        <v>1</v>
      </c>
      <c r="D8" s="180" t="s">
        <v>321</v>
      </c>
      <c r="E8" s="180">
        <v>1000</v>
      </c>
      <c r="F8" s="180" t="s">
        <v>41</v>
      </c>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row>
    <row r="9" spans="1:38" x14ac:dyDescent="0.2">
      <c r="A9" s="183"/>
      <c r="B9" s="186"/>
      <c r="C9" s="180">
        <v>1</v>
      </c>
      <c r="D9" s="180" t="s">
        <v>41</v>
      </c>
      <c r="E9" s="180">
        <f>CONVERT(C9,"kg","lbm")</f>
        <v>2.2046226218487757</v>
      </c>
      <c r="F9" s="180" t="s">
        <v>322</v>
      </c>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1:38" x14ac:dyDescent="0.2">
      <c r="A10" s="183"/>
      <c r="B10" s="188"/>
      <c r="C10" s="180">
        <v>1</v>
      </c>
      <c r="D10" s="180" t="s">
        <v>319</v>
      </c>
      <c r="E10" s="180">
        <v>35.314700000000002</v>
      </c>
      <c r="F10" s="180" t="s">
        <v>323</v>
      </c>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row>
    <row r="11" spans="1:38" x14ac:dyDescent="0.2">
      <c r="A11" s="183"/>
      <c r="B11" s="189"/>
      <c r="C11" s="180">
        <v>1</v>
      </c>
      <c r="D11" s="180" t="s">
        <v>324</v>
      </c>
      <c r="E11" s="180">
        <v>1000</v>
      </c>
      <c r="F11" s="180" t="s">
        <v>276</v>
      </c>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row>
    <row r="12" spans="1:38" x14ac:dyDescent="0.2">
      <c r="A12" s="183"/>
      <c r="B12" s="190"/>
      <c r="C12" s="180">
        <v>1</v>
      </c>
      <c r="D12" s="180" t="s">
        <v>324</v>
      </c>
      <c r="E12" s="180">
        <v>3600</v>
      </c>
      <c r="F12" s="180" t="s">
        <v>532</v>
      </c>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row>
    <row r="13" spans="1:38" x14ac:dyDescent="0.2">
      <c r="A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row>
    <row r="14" spans="1:38" x14ac:dyDescent="0.2">
      <c r="A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row>
    <row r="15" spans="1:38" x14ac:dyDescent="0.2">
      <c r="A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row>
    <row r="16" spans="1:38" x14ac:dyDescent="0.2">
      <c r="A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row>
    <row r="17" spans="1:38" x14ac:dyDescent="0.2">
      <c r="A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row>
    <row r="18" spans="1:38" x14ac:dyDescent="0.2">
      <c r="A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row>
    <row r="19" spans="1:38" x14ac:dyDescent="0.2">
      <c r="A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row>
    <row r="20" spans="1:38" x14ac:dyDescent="0.2">
      <c r="A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row>
    <row r="21" spans="1:38" x14ac:dyDescent="0.2">
      <c r="A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row>
    <row r="22" spans="1:38" x14ac:dyDescent="0.2">
      <c r="A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row>
    <row r="23" spans="1:38" x14ac:dyDescent="0.2">
      <c r="A23" s="183"/>
      <c r="B23" s="183"/>
      <c r="C23" s="183"/>
      <c r="D23" s="183"/>
      <c r="E23" s="183"/>
      <c r="F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row>
    <row r="24" spans="1:38" x14ac:dyDescent="0.2">
      <c r="A24" s="183"/>
      <c r="B24" s="183"/>
      <c r="C24" s="183"/>
      <c r="D24" s="183"/>
      <c r="E24" s="183"/>
      <c r="F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row>
    <row r="25" spans="1:38" x14ac:dyDescent="0.2">
      <c r="A25" s="183"/>
      <c r="B25" s="156"/>
      <c r="C25" s="191"/>
      <c r="D25" s="156"/>
      <c r="E25" s="156"/>
      <c r="F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row>
    <row r="26" spans="1:38" x14ac:dyDescent="0.2">
      <c r="A26" s="183"/>
      <c r="B26" s="192"/>
      <c r="C26" s="193"/>
      <c r="D26" s="156"/>
      <c r="E26" s="156"/>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row>
    <row r="27" spans="1:38" x14ac:dyDescent="0.2">
      <c r="A27" s="183"/>
      <c r="B27" s="192"/>
      <c r="C27" s="193"/>
      <c r="D27" s="156"/>
      <c r="E27" s="156"/>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row>
    <row r="28" spans="1:38" x14ac:dyDescent="0.2">
      <c r="A28" s="183"/>
      <c r="B28" s="192"/>
      <c r="C28" s="193"/>
      <c r="D28" s="156"/>
      <c r="E28" s="156"/>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row>
    <row r="29" spans="1:38" x14ac:dyDescent="0.2">
      <c r="B29" s="192"/>
      <c r="C29" s="183"/>
      <c r="D29" s="183"/>
      <c r="E29" s="183"/>
    </row>
    <row r="30" spans="1:38" x14ac:dyDescent="0.2">
      <c r="B30" s="192"/>
      <c r="C30" s="183"/>
      <c r="D30" s="183"/>
      <c r="E30" s="183"/>
    </row>
    <row r="31" spans="1:38" x14ac:dyDescent="0.2">
      <c r="B31" s="189"/>
      <c r="C31" s="183"/>
      <c r="D31" s="183"/>
      <c r="E31" s="183"/>
    </row>
    <row r="37" spans="10:10" x14ac:dyDescent="0.2">
      <c r="J37" s="19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2"/>
  <sheetViews>
    <sheetView zoomScaleNormal="100" workbookViewId="0">
      <selection activeCell="B15" sqref="B15"/>
    </sheetView>
  </sheetViews>
  <sheetFormatPr defaultColWidth="9.140625" defaultRowHeight="12.75" x14ac:dyDescent="0.2"/>
  <cols>
    <col min="1" max="2" width="9.140625" style="3"/>
    <col min="3" max="3" width="13.140625" style="3" bestFit="1" customWidth="1"/>
    <col min="4" max="11" width="9.140625" style="3"/>
    <col min="12" max="12" width="20.57031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4" t="s">
        <v>223</v>
      </c>
      <c r="D3" s="184" t="s">
        <v>9</v>
      </c>
    </row>
    <row r="4" spans="1:38" ht="15" x14ac:dyDescent="0.2">
      <c r="C4" s="195">
        <v>1</v>
      </c>
      <c r="D4" s="364" t="s">
        <v>293</v>
      </c>
      <c r="E4" s="365"/>
      <c r="F4" s="365"/>
      <c r="G4" s="365"/>
      <c r="H4" s="365"/>
      <c r="I4" s="365"/>
      <c r="J4" s="365"/>
      <c r="K4" s="365"/>
      <c r="L4" s="365"/>
    </row>
    <row r="5" spans="1:38" ht="15" x14ac:dyDescent="0.2">
      <c r="C5" s="244">
        <v>2</v>
      </c>
      <c r="D5" s="364" t="s">
        <v>526</v>
      </c>
      <c r="E5" s="365"/>
      <c r="F5" s="365"/>
      <c r="G5" s="365"/>
      <c r="H5" s="365"/>
      <c r="I5" s="365"/>
      <c r="J5" s="365"/>
      <c r="K5" s="365"/>
      <c r="L5" s="365"/>
    </row>
    <row r="6" spans="1:38" ht="15" x14ac:dyDescent="0.2">
      <c r="C6" s="195">
        <v>3</v>
      </c>
      <c r="D6" s="364" t="s">
        <v>527</v>
      </c>
      <c r="E6" s="365"/>
      <c r="F6" s="365"/>
      <c r="G6" s="365"/>
      <c r="H6" s="365"/>
      <c r="I6" s="365"/>
      <c r="J6" s="365"/>
      <c r="K6" s="365"/>
      <c r="L6" s="365"/>
    </row>
    <row r="7" spans="1:38" ht="15" x14ac:dyDescent="0.2">
      <c r="C7" s="195"/>
      <c r="D7" s="364"/>
      <c r="E7" s="365"/>
      <c r="F7" s="365"/>
      <c r="G7" s="365"/>
      <c r="H7" s="365"/>
      <c r="I7" s="365"/>
      <c r="J7" s="365"/>
      <c r="K7" s="365"/>
      <c r="L7" s="365"/>
    </row>
    <row r="8" spans="1:38" ht="15" x14ac:dyDescent="0.2">
      <c r="C8" s="195"/>
      <c r="D8" s="364"/>
      <c r="E8" s="365"/>
      <c r="F8" s="365"/>
      <c r="G8" s="365"/>
      <c r="H8" s="365"/>
      <c r="I8" s="365"/>
      <c r="J8" s="365"/>
      <c r="K8" s="365"/>
      <c r="L8" s="365"/>
    </row>
    <row r="9" spans="1:38" ht="15" x14ac:dyDescent="0.2">
      <c r="C9" s="195"/>
      <c r="D9" s="364"/>
      <c r="E9" s="365"/>
      <c r="F9" s="365"/>
      <c r="G9" s="365"/>
      <c r="H9" s="365"/>
      <c r="I9" s="365"/>
      <c r="J9" s="365"/>
      <c r="K9" s="365"/>
      <c r="L9" s="365"/>
    </row>
    <row r="10" spans="1:38" ht="15" x14ac:dyDescent="0.2">
      <c r="C10" s="195"/>
      <c r="D10" s="364"/>
      <c r="E10" s="365"/>
      <c r="F10" s="365"/>
      <c r="G10" s="365"/>
      <c r="H10" s="365"/>
      <c r="I10" s="365"/>
      <c r="J10" s="365"/>
      <c r="K10" s="365"/>
      <c r="L10" s="365"/>
    </row>
    <row r="11" spans="1:38" ht="15" x14ac:dyDescent="0.2">
      <c r="C11" s="195"/>
      <c r="D11" s="364"/>
      <c r="E11" s="365"/>
      <c r="F11" s="365"/>
      <c r="G11" s="365"/>
      <c r="H11" s="365"/>
      <c r="I11" s="365"/>
      <c r="J11" s="365"/>
      <c r="K11" s="365"/>
      <c r="L11" s="365"/>
    </row>
    <row r="12" spans="1:38" ht="15" x14ac:dyDescent="0.2">
      <c r="C12" s="195"/>
      <c r="D12" s="364"/>
      <c r="E12" s="365"/>
      <c r="F12" s="365"/>
      <c r="G12" s="365"/>
      <c r="H12" s="365"/>
      <c r="I12" s="365"/>
      <c r="J12" s="365"/>
      <c r="K12" s="365"/>
      <c r="L12" s="365"/>
    </row>
  </sheetData>
  <mergeCells count="9">
    <mergeCell ref="D9:L9"/>
    <mergeCell ref="D10:L10"/>
    <mergeCell ref="D11:L11"/>
    <mergeCell ref="D12:L12"/>
    <mergeCell ref="D4:L4"/>
    <mergeCell ref="D6:L6"/>
    <mergeCell ref="D7:L7"/>
    <mergeCell ref="D8:L8"/>
    <mergeCell ref="D5:L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B35" sqref="B3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94954FA9-5859-4D09-9DF5-EC6DDFF71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05FC2-E240-4F40-860C-618CF297EC34}">
  <ds:schemaRefs>
    <ds:schemaRef ds:uri="http://schemas.microsoft.com/sharepoint/v3/contenttype/forms"/>
  </ds:schemaRefs>
</ds:datastoreItem>
</file>

<file path=customXml/itemProps3.xml><?xml version="1.0" encoding="utf-8"?>
<ds:datastoreItem xmlns:ds="http://schemas.openxmlformats.org/officeDocument/2006/customXml" ds:itemID="{490FE899-0723-4403-B4AB-F110697BCB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Reference Source Info</vt:lpstr>
      <vt:lpstr>DQI</vt:lpstr>
      <vt:lpstr>SAGD Calculations</vt:lpstr>
      <vt:lpstr>CSS Calculations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Jeremie Hakian</dc:creator>
  <cp:lastModifiedBy>Krynock, Michelle M. (CONTR)</cp:lastModifiedBy>
  <dcterms:created xsi:type="dcterms:W3CDTF">2013-12-04T13:35:54Z</dcterms:created>
  <dcterms:modified xsi:type="dcterms:W3CDTF">2017-01-03T20:30:51Z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