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6015" windowWidth="25230" windowHeight="6075" activeTab="1"/>
  </bookViews>
  <sheets>
    <sheet name="Info" sheetId="13" r:id="rId1"/>
    <sheet name="Data Summary" sheetId="14" r:id="rId2"/>
    <sheet name="PS" sheetId="25" r:id="rId3"/>
    <sheet name="Reference Source Info" sheetId="15" r:id="rId4"/>
    <sheet name="DQI" sheetId="16" r:id="rId5"/>
    <sheet name="Regions_Map" sheetId="26" r:id="rId6"/>
    <sheet name="Parameter_Definitions" sheetId="27" r:id="rId7"/>
    <sheet name="Calculations" sheetId="24" r:id="rId8"/>
    <sheet name="Conversions" sheetId="23" r:id="rId9"/>
    <sheet name="Chart" sheetId="28" r:id="rId10"/>
  </sheets>
  <externalReferences>
    <externalReference r:id="rId11"/>
    <externalReference r:id="rId12"/>
    <externalReference r:id="rId13"/>
    <externalReference r:id="rId1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arrel_to_Gallons">'[1]Misc Factors'!$B$88</definedName>
    <definedName name="Catalytic_Reformer_Energy_Consumption_Sensitivity_Indicator">'[1]SA Inputs'!#REF!</definedName>
    <definedName name="completness">'[2]Data Summary'!$E$128:$E$133</definedName>
    <definedName name="Delayed_Coker_Energy_Consumption_Sensitivity_Indicator">'[1]SA Inputs'!#REF!</definedName>
    <definedName name="f">#REF!</definedName>
    <definedName name="fd">#REF!</definedName>
    <definedName name="Hydrogen_Consump_minus_Production">'[1]H2 intensities'!#REF!</definedName>
    <definedName name="lstCompleteness" localSheetId="4">'[3]Data Summary'!$E$141:$E$146</definedName>
    <definedName name="lstCompleteness">'[4]Data Summary'!$E$161:$E$166</definedName>
    <definedName name="lstOrigin" localSheetId="4">'[3]Data Summary'!$H$141:$H$146</definedName>
    <definedName name="lstOrigin">'[4]Data Summary'!$H$161:$H$166</definedName>
    <definedName name="lstProcessScope" localSheetId="4">'[3]Data Summary'!$D$141:$D$145</definedName>
    <definedName name="lstProcessScope">'[4]Data Summary'!$D$161:$D$165</definedName>
    <definedName name="lstProcessType" localSheetId="4">'[3]Data Summary'!$C$141:$C$150</definedName>
    <definedName name="lstProcessType">'[4]Data Summary'!$C$161:$C$170</definedName>
    <definedName name="lstSourceType" localSheetId="4">'[3]Reference Source Info'!$B$53:$B$61</definedName>
    <definedName name="lstSourceType">#REF!</definedName>
    <definedName name="lstTracked" localSheetId="4">'[3]Data Summary'!$J$141:$J$143</definedName>
    <definedName name="lstTracked">'[4]Data Summary'!$J$161:$J$163</definedName>
    <definedName name="_xlnm.Print_Area" localSheetId="1">'Data Summary'!$A$1:$Q$54</definedName>
    <definedName name="_xlnm.Print_Area" localSheetId="4">DQI!$A$1:$K$49</definedName>
    <definedName name="_xlnm.Print_Area" localSheetId="0">Info!$A$1:$N$40</definedName>
    <definedName name="_xlnm.Print_Area" localSheetId="3">'Reference Source Info'!$A$1:$F$27</definedName>
    <definedName name="_xlnm.Print_Titles" localSheetId="3">'Reference Source Info'!$A:$A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Ton_to_Kilogram">'[1]Misc Factors'!#REF!</definedName>
    <definedName name="Vacuum_distillation_Energy_Consumption_Sensitivity_Indicator">'[1]SA Inputs'!#REF!</definedName>
    <definedName name="Weight_Conversion">'[1]Loss Factors'!#REF!</definedName>
  </definedNames>
  <calcPr calcId="171027" calcMode="manual" fullCalcOnLoad="1"/>
</workbook>
</file>

<file path=xl/calcChain.xml><?xml version="1.0" encoding="utf-8"?>
<calcChain xmlns="http://schemas.openxmlformats.org/spreadsheetml/2006/main">
  <c r="H50" i="14" l="1"/>
  <c r="R59" i="24"/>
  <c r="G59" i="24"/>
  <c r="F45" i="24"/>
  <c r="J78" i="24"/>
  <c r="R7" i="25" s="1"/>
  <c r="E50" i="24"/>
  <c r="O100" i="24" s="1"/>
  <c r="F50" i="24"/>
  <c r="G50" i="24"/>
  <c r="H50" i="24"/>
  <c r="I50" i="24"/>
  <c r="P100" i="24" s="1"/>
  <c r="J50" i="24"/>
  <c r="K50" i="24"/>
  <c r="L50" i="24"/>
  <c r="M50" i="24"/>
  <c r="N50" i="24"/>
  <c r="F100" i="24" s="1"/>
  <c r="AF7" i="25" s="1"/>
  <c r="O50" i="24"/>
  <c r="P50" i="24"/>
  <c r="G100" i="24" s="1"/>
  <c r="Q50" i="24"/>
  <c r="R50" i="24"/>
  <c r="I100" i="24" s="1"/>
  <c r="S50" i="24"/>
  <c r="T50" i="24"/>
  <c r="U50" i="24"/>
  <c r="V50" i="24"/>
  <c r="W50" i="24"/>
  <c r="X50" i="24"/>
  <c r="C36" i="24"/>
  <c r="D36" i="24"/>
  <c r="E36" i="24"/>
  <c r="F36" i="24"/>
  <c r="G36" i="24"/>
  <c r="H36" i="24"/>
  <c r="I36" i="24"/>
  <c r="N36" i="24"/>
  <c r="O36" i="24"/>
  <c r="P36" i="24"/>
  <c r="Q36" i="24"/>
  <c r="R36" i="24"/>
  <c r="J89" i="24" s="1"/>
  <c r="S36" i="24"/>
  <c r="U36" i="24"/>
  <c r="M89" i="24" s="1"/>
  <c r="L89" i="24"/>
  <c r="V36" i="24"/>
  <c r="W36" i="24"/>
  <c r="X36" i="24"/>
  <c r="Y36" i="24"/>
  <c r="B50" i="24"/>
  <c r="B36" i="24"/>
  <c r="C89" i="24" s="1"/>
  <c r="C21" i="24"/>
  <c r="D21" i="24"/>
  <c r="M78" i="24" s="1"/>
  <c r="L78" i="24"/>
  <c r="E21" i="24"/>
  <c r="F21" i="24"/>
  <c r="G78" i="24" s="1"/>
  <c r="G21" i="24"/>
  <c r="I21" i="24"/>
  <c r="H78" i="24"/>
  <c r="B21" i="24"/>
  <c r="C7" i="24"/>
  <c r="F7" i="24"/>
  <c r="G7" i="24"/>
  <c r="H7" i="24"/>
  <c r="B7" i="24"/>
  <c r="C13" i="25"/>
  <c r="E33" i="14" s="1"/>
  <c r="U54" i="24"/>
  <c r="U56" i="24"/>
  <c r="X54" i="24"/>
  <c r="X59" i="24"/>
  <c r="W54" i="24"/>
  <c r="W59" i="24" s="1"/>
  <c r="V54" i="24"/>
  <c r="V59" i="24"/>
  <c r="T54" i="24"/>
  <c r="T59" i="24"/>
  <c r="S54" i="24"/>
  <c r="S59" i="24" s="1"/>
  <c r="R54" i="24"/>
  <c r="Q54" i="24"/>
  <c r="P54" i="24"/>
  <c r="P59" i="24" s="1"/>
  <c r="O54" i="24"/>
  <c r="N54" i="24"/>
  <c r="N59" i="24"/>
  <c r="M54" i="24"/>
  <c r="L54" i="24"/>
  <c r="L59" i="24" s="1"/>
  <c r="K54" i="24"/>
  <c r="K59" i="24" s="1"/>
  <c r="J54" i="24"/>
  <c r="J59" i="24" s="1"/>
  <c r="I54" i="24"/>
  <c r="H54" i="24"/>
  <c r="H59" i="24" s="1"/>
  <c r="G54" i="24"/>
  <c r="F54" i="24"/>
  <c r="F59" i="24"/>
  <c r="E54" i="24"/>
  <c r="B54" i="24"/>
  <c r="Y40" i="24"/>
  <c r="X40" i="24"/>
  <c r="X45" i="24"/>
  <c r="W40" i="24"/>
  <c r="W45" i="24" s="1"/>
  <c r="V40" i="24"/>
  <c r="V45" i="24"/>
  <c r="U40" i="24"/>
  <c r="S40" i="24"/>
  <c r="R40" i="24"/>
  <c r="R45" i="24" s="1"/>
  <c r="Q40" i="24"/>
  <c r="Q45" i="24"/>
  <c r="P40" i="24"/>
  <c r="P45" i="24" s="1"/>
  <c r="O40" i="24"/>
  <c r="N40" i="24"/>
  <c r="N45" i="24" s="1"/>
  <c r="I40" i="24"/>
  <c r="I45" i="24"/>
  <c r="H40" i="24"/>
  <c r="H45" i="24"/>
  <c r="G40" i="24"/>
  <c r="G45" i="24" s="1"/>
  <c r="F40" i="24"/>
  <c r="E40" i="24"/>
  <c r="E45" i="24" s="1"/>
  <c r="D40" i="24"/>
  <c r="D45" i="24"/>
  <c r="C40" i="24"/>
  <c r="C45" i="24"/>
  <c r="B40" i="24"/>
  <c r="B45" i="24"/>
  <c r="I25" i="24"/>
  <c r="I30" i="24" s="1"/>
  <c r="H82" i="24"/>
  <c r="P11" i="25" s="1"/>
  <c r="G25" i="24"/>
  <c r="F25" i="24"/>
  <c r="E25" i="24"/>
  <c r="E30" i="24" s="1"/>
  <c r="D25" i="24"/>
  <c r="D30" i="24"/>
  <c r="B25" i="24"/>
  <c r="H11" i="24"/>
  <c r="H16" i="24" s="1"/>
  <c r="G11" i="24"/>
  <c r="F11" i="24"/>
  <c r="F16" i="24"/>
  <c r="C11" i="24"/>
  <c r="C16" i="24" s="1"/>
  <c r="B11" i="24"/>
  <c r="C25" i="24"/>
  <c r="C30" i="24"/>
  <c r="B10" i="24"/>
  <c r="B13" i="24"/>
  <c r="B32" i="14"/>
  <c r="E56" i="24"/>
  <c r="F56" i="24"/>
  <c r="G56" i="24"/>
  <c r="H56" i="24"/>
  <c r="I56" i="24"/>
  <c r="J56" i="24"/>
  <c r="K56" i="24"/>
  <c r="L56" i="24"/>
  <c r="M56" i="24"/>
  <c r="N56" i="24"/>
  <c r="O56" i="24"/>
  <c r="P56" i="24"/>
  <c r="Q56" i="24"/>
  <c r="R56" i="24"/>
  <c r="S56" i="24"/>
  <c r="T56" i="24"/>
  <c r="V56" i="24"/>
  <c r="W56" i="24"/>
  <c r="X56" i="24"/>
  <c r="X57" i="24" s="1"/>
  <c r="X58" i="24" s="1"/>
  <c r="X53" i="24"/>
  <c r="B56" i="24"/>
  <c r="C27" i="24"/>
  <c r="D27" i="24"/>
  <c r="D24" i="24"/>
  <c r="E27" i="24"/>
  <c r="F27" i="24"/>
  <c r="G27" i="24"/>
  <c r="I27" i="24"/>
  <c r="B27" i="24"/>
  <c r="D6" i="23"/>
  <c r="G52" i="14"/>
  <c r="C51" i="14"/>
  <c r="H51" i="14" s="1"/>
  <c r="H52" i="14"/>
  <c r="I52" i="14"/>
  <c r="C43" i="14"/>
  <c r="H43" i="14" s="1"/>
  <c r="W53" i="24"/>
  <c r="V53" i="24"/>
  <c r="U53" i="24"/>
  <c r="T53" i="24"/>
  <c r="S53" i="24"/>
  <c r="R53" i="24"/>
  <c r="H103" i="24" s="1"/>
  <c r="AK10" i="25" s="1"/>
  <c r="Q53" i="24"/>
  <c r="P53" i="24"/>
  <c r="O53" i="24"/>
  <c r="N53" i="24"/>
  <c r="M53" i="24"/>
  <c r="L53" i="24"/>
  <c r="K53" i="24"/>
  <c r="J53" i="24"/>
  <c r="I53" i="24"/>
  <c r="H53" i="24"/>
  <c r="G53" i="24"/>
  <c r="G57" i="24" s="1"/>
  <c r="G58" i="24" s="1"/>
  <c r="E53" i="24"/>
  <c r="F53" i="24"/>
  <c r="P101" i="24"/>
  <c r="AY8" i="25"/>
  <c r="P102" i="24"/>
  <c r="AY9" i="25"/>
  <c r="P105" i="24"/>
  <c r="P106" i="24" s="1"/>
  <c r="B53" i="24"/>
  <c r="Y39" i="24"/>
  <c r="Y42" i="24"/>
  <c r="X39" i="24"/>
  <c r="W39" i="24"/>
  <c r="V39" i="24"/>
  <c r="U39" i="24"/>
  <c r="S39" i="24"/>
  <c r="R39" i="24"/>
  <c r="Q39" i="24"/>
  <c r="P39" i="24"/>
  <c r="P42" i="24"/>
  <c r="P43" i="24" s="1"/>
  <c r="P44" i="24" s="1"/>
  <c r="O39" i="24"/>
  <c r="N39" i="24"/>
  <c r="I39" i="24"/>
  <c r="H39" i="24"/>
  <c r="E39" i="24"/>
  <c r="N92" i="24" s="1"/>
  <c r="AT10" i="25" s="1"/>
  <c r="F39" i="24"/>
  <c r="G39" i="24"/>
  <c r="D39" i="24"/>
  <c r="D42" i="24"/>
  <c r="C39" i="24"/>
  <c r="B39" i="24"/>
  <c r="I24" i="24"/>
  <c r="G24" i="24"/>
  <c r="F24" i="24"/>
  <c r="E24" i="24"/>
  <c r="C24" i="24"/>
  <c r="B24" i="24"/>
  <c r="H10" i="24"/>
  <c r="G10" i="24"/>
  <c r="F10" i="24"/>
  <c r="C10" i="24"/>
  <c r="B33" i="14"/>
  <c r="B29" i="14"/>
  <c r="B28" i="14"/>
  <c r="B30" i="14"/>
  <c r="B31" i="14"/>
  <c r="B34" i="14"/>
  <c r="B35" i="14"/>
  <c r="B36" i="14"/>
  <c r="B37" i="14"/>
  <c r="B27" i="14"/>
  <c r="B23" i="14"/>
  <c r="B24" i="14"/>
  <c r="B25" i="14"/>
  <c r="B26" i="14"/>
  <c r="O101" i="24"/>
  <c r="AX8" i="25" s="1"/>
  <c r="O102" i="24"/>
  <c r="AX9" i="25"/>
  <c r="O105" i="24"/>
  <c r="O106" i="24"/>
  <c r="O90" i="24"/>
  <c r="AU8" i="25" s="1"/>
  <c r="P90" i="24"/>
  <c r="AV8" i="25" s="1"/>
  <c r="O91" i="24"/>
  <c r="AU9" i="25"/>
  <c r="P91" i="24"/>
  <c r="AV9" i="25"/>
  <c r="O94" i="24"/>
  <c r="O95" i="24" s="1"/>
  <c r="P94" i="24"/>
  <c r="P95" i="24" s="1"/>
  <c r="L101" i="24"/>
  <c r="AR8" i="25"/>
  <c r="M101" i="24"/>
  <c r="AS8" i="25"/>
  <c r="L102" i="24"/>
  <c r="AR9" i="25" s="1"/>
  <c r="M102" i="24"/>
  <c r="AS9" i="25" s="1"/>
  <c r="L105" i="24"/>
  <c r="AR12" i="25"/>
  <c r="M105" i="24"/>
  <c r="M106" i="24"/>
  <c r="L90" i="24"/>
  <c r="AO8" i="25" s="1"/>
  <c r="M90" i="24"/>
  <c r="AP8" i="25" s="1"/>
  <c r="L91" i="24"/>
  <c r="AO9" i="25"/>
  <c r="M91" i="24"/>
  <c r="AP9" i="25"/>
  <c r="L94" i="24"/>
  <c r="AO12" i="25" s="1"/>
  <c r="M94" i="24"/>
  <c r="AP12" i="25" s="1"/>
  <c r="I101" i="24"/>
  <c r="AL8" i="25"/>
  <c r="J101" i="24"/>
  <c r="AM8" i="25"/>
  <c r="I102" i="24"/>
  <c r="AL9" i="25" s="1"/>
  <c r="J102" i="24"/>
  <c r="AM9" i="25" s="1"/>
  <c r="I105" i="24"/>
  <c r="I106" i="24"/>
  <c r="J105" i="24"/>
  <c r="AM12" i="25"/>
  <c r="I90" i="24"/>
  <c r="AI8" i="25" s="1"/>
  <c r="J90" i="24"/>
  <c r="AJ8" i="25" s="1"/>
  <c r="I91" i="24"/>
  <c r="AI9" i="25"/>
  <c r="J91" i="24"/>
  <c r="AJ9" i="25"/>
  <c r="I94" i="24"/>
  <c r="AI12" i="25" s="1"/>
  <c r="J94" i="24"/>
  <c r="AJ12" i="25" s="1"/>
  <c r="F101" i="24"/>
  <c r="AF8" i="25" s="1"/>
  <c r="G101" i="24"/>
  <c r="AG8" i="25"/>
  <c r="F102" i="24"/>
  <c r="AF9" i="25"/>
  <c r="G102" i="24"/>
  <c r="AG9" i="25"/>
  <c r="F105" i="24"/>
  <c r="G105" i="24"/>
  <c r="AG12" i="25"/>
  <c r="F90" i="24"/>
  <c r="AC8" i="25"/>
  <c r="G90" i="24"/>
  <c r="AD8" i="25"/>
  <c r="F91" i="24"/>
  <c r="AC9" i="25" s="1"/>
  <c r="G91" i="24"/>
  <c r="AD9" i="25"/>
  <c r="F94" i="24"/>
  <c r="F95" i="24"/>
  <c r="G94" i="24"/>
  <c r="AD12" i="25"/>
  <c r="B101" i="24"/>
  <c r="Y8" i="25" s="1"/>
  <c r="C101" i="24"/>
  <c r="Z8" i="25"/>
  <c r="D101" i="24"/>
  <c r="AA8" i="25"/>
  <c r="B102" i="24"/>
  <c r="Y9" i="25"/>
  <c r="C102" i="24"/>
  <c r="Z9" i="25" s="1"/>
  <c r="D102" i="24"/>
  <c r="AA9" i="25"/>
  <c r="B105" i="24"/>
  <c r="Y12" i="25"/>
  <c r="C105" i="24"/>
  <c r="C106" i="24"/>
  <c r="D105" i="24"/>
  <c r="C90" i="24"/>
  <c r="W8" i="25"/>
  <c r="D90" i="24"/>
  <c r="X8" i="25"/>
  <c r="C91" i="24"/>
  <c r="W9" i="25"/>
  <c r="D91" i="24"/>
  <c r="X9" i="25" s="1"/>
  <c r="C94" i="24"/>
  <c r="W12" i="25"/>
  <c r="D94" i="24"/>
  <c r="D95" i="24"/>
  <c r="L79" i="24"/>
  <c r="T8" i="25"/>
  <c r="M79" i="24"/>
  <c r="U8" i="25" s="1"/>
  <c r="L80" i="24"/>
  <c r="T9" i="25"/>
  <c r="M80" i="24"/>
  <c r="U9" i="25"/>
  <c r="L83" i="24"/>
  <c r="T12" i="25"/>
  <c r="M83" i="24"/>
  <c r="H79" i="24"/>
  <c r="P8" i="25"/>
  <c r="I79" i="24"/>
  <c r="Q8" i="25"/>
  <c r="J79" i="24"/>
  <c r="R8" i="25"/>
  <c r="H80" i="24"/>
  <c r="P9" i="25" s="1"/>
  <c r="I80" i="24"/>
  <c r="Q9" i="25"/>
  <c r="J80" i="24"/>
  <c r="R9" i="25"/>
  <c r="H83" i="24"/>
  <c r="P12" i="25"/>
  <c r="I83" i="24"/>
  <c r="J83" i="24"/>
  <c r="J84" i="24"/>
  <c r="F79" i="24"/>
  <c r="N8" i="25"/>
  <c r="G79" i="24"/>
  <c r="O8" i="25"/>
  <c r="F80" i="24"/>
  <c r="G80" i="24"/>
  <c r="O9" i="25"/>
  <c r="F83" i="24"/>
  <c r="N12" i="25"/>
  <c r="G83" i="24"/>
  <c r="G84" i="24"/>
  <c r="F67" i="24"/>
  <c r="G67" i="24"/>
  <c r="L8" i="25"/>
  <c r="F68" i="24"/>
  <c r="K9" i="25"/>
  <c r="G68" i="24"/>
  <c r="L9" i="25"/>
  <c r="F71" i="24"/>
  <c r="G71" i="24"/>
  <c r="G72" i="24"/>
  <c r="C79" i="24"/>
  <c r="H8" i="25"/>
  <c r="D79" i="24"/>
  <c r="I8" i="25"/>
  <c r="C80" i="24"/>
  <c r="D80" i="24"/>
  <c r="I9" i="25"/>
  <c r="C83" i="24"/>
  <c r="H12" i="25"/>
  <c r="D83" i="24"/>
  <c r="I12" i="25"/>
  <c r="C67" i="24"/>
  <c r="E8" i="25"/>
  <c r="D67" i="24"/>
  <c r="F8" i="25" s="1"/>
  <c r="C68" i="24"/>
  <c r="E9" i="25" s="1"/>
  <c r="D68" i="24"/>
  <c r="F9" i="25"/>
  <c r="C71" i="24"/>
  <c r="E12" i="25"/>
  <c r="D71" i="24"/>
  <c r="D72" i="24" s="1"/>
  <c r="E29" i="14"/>
  <c r="C6" i="25"/>
  <c r="X42" i="24"/>
  <c r="W42" i="24"/>
  <c r="W43" i="24" s="1"/>
  <c r="W44" i="24" s="1"/>
  <c r="V42" i="24"/>
  <c r="U42" i="24"/>
  <c r="S42" i="24"/>
  <c r="R42" i="24"/>
  <c r="R43" i="24"/>
  <c r="Q42" i="24"/>
  <c r="O42" i="24"/>
  <c r="N42" i="24"/>
  <c r="N43" i="24" s="1"/>
  <c r="I42" i="24"/>
  <c r="I43" i="24"/>
  <c r="I44" i="24"/>
  <c r="H42" i="24"/>
  <c r="G42" i="24"/>
  <c r="F42" i="24"/>
  <c r="E42" i="24"/>
  <c r="E43" i="24"/>
  <c r="E44" i="24" s="1"/>
  <c r="C42" i="24"/>
  <c r="B42" i="24"/>
  <c r="H13" i="24"/>
  <c r="G13" i="24"/>
  <c r="F13" i="24"/>
  <c r="C13" i="24"/>
  <c r="G50" i="14"/>
  <c r="D50" i="14"/>
  <c r="I50" i="14" s="1"/>
  <c r="N5" i="14"/>
  <c r="IB2" i="15"/>
  <c r="IA2" i="15"/>
  <c r="HZ2" i="15"/>
  <c r="HY2" i="15"/>
  <c r="HX2" i="15"/>
  <c r="HW2" i="15"/>
  <c r="HV2" i="15"/>
  <c r="HU2" i="15"/>
  <c r="HT2" i="15"/>
  <c r="HS2" i="15"/>
  <c r="HR2" i="15"/>
  <c r="HQ2" i="15"/>
  <c r="HP2" i="15"/>
  <c r="HO2" i="15"/>
  <c r="HN2" i="15"/>
  <c r="HM2" i="15"/>
  <c r="HL2" i="15"/>
  <c r="HK2" i="15"/>
  <c r="HJ2" i="15"/>
  <c r="HI2" i="15"/>
  <c r="HH2" i="15"/>
  <c r="HG2" i="15"/>
  <c r="HF2" i="15"/>
  <c r="HE2" i="15"/>
  <c r="HD2" i="15"/>
  <c r="HC2" i="15"/>
  <c r="HB2" i="15"/>
  <c r="HA2" i="15"/>
  <c r="GZ2" i="15"/>
  <c r="GY2" i="15"/>
  <c r="GX2" i="15"/>
  <c r="GW2" i="15"/>
  <c r="GV2" i="15"/>
  <c r="GU2" i="15"/>
  <c r="GT2" i="15"/>
  <c r="GS2" i="15"/>
  <c r="GR2" i="15"/>
  <c r="GQ2" i="15"/>
  <c r="GP2" i="15"/>
  <c r="GO2" i="15"/>
  <c r="GN2" i="15"/>
  <c r="GM2" i="15"/>
  <c r="GL2" i="15"/>
  <c r="GK2" i="15"/>
  <c r="GJ2" i="15"/>
  <c r="GI2" i="15"/>
  <c r="GH2" i="15"/>
  <c r="GG2" i="15"/>
  <c r="GF2" i="15"/>
  <c r="GE2" i="15"/>
  <c r="GD2" i="15"/>
  <c r="GC2" i="15"/>
  <c r="GB2" i="15"/>
  <c r="GA2" i="15"/>
  <c r="FZ2" i="15"/>
  <c r="FY2" i="15"/>
  <c r="FX2" i="15"/>
  <c r="FW2" i="15"/>
  <c r="FV2" i="15"/>
  <c r="FU2" i="15"/>
  <c r="FT2" i="15"/>
  <c r="FS2" i="15"/>
  <c r="FR2" i="15"/>
  <c r="FQ2" i="15"/>
  <c r="FP2" i="15"/>
  <c r="FO2" i="15"/>
  <c r="FN2" i="15"/>
  <c r="FM2" i="15"/>
  <c r="FL2" i="15"/>
  <c r="FK2" i="15"/>
  <c r="FJ2" i="15"/>
  <c r="FI2" i="15"/>
  <c r="FH2" i="15"/>
  <c r="FG2" i="15"/>
  <c r="FF2" i="15"/>
  <c r="FE2" i="15"/>
  <c r="FD2" i="15"/>
  <c r="FC2" i="15"/>
  <c r="FB2" i="15"/>
  <c r="FA2" i="15"/>
  <c r="EZ2" i="15"/>
  <c r="EY2" i="15"/>
  <c r="EX2" i="15"/>
  <c r="EW2" i="15"/>
  <c r="EV2" i="15"/>
  <c r="EU2" i="15"/>
  <c r="ET2" i="15"/>
  <c r="ES2" i="15"/>
  <c r="ER2" i="15"/>
  <c r="EQ2" i="15"/>
  <c r="EP2" i="15"/>
  <c r="EO2" i="15"/>
  <c r="EN2" i="15"/>
  <c r="EM2" i="15"/>
  <c r="EL2" i="15"/>
  <c r="EK2" i="15"/>
  <c r="EJ2" i="15"/>
  <c r="EI2" i="15"/>
  <c r="EH2" i="15"/>
  <c r="EG2" i="15"/>
  <c r="EF2" i="15"/>
  <c r="EE2" i="15"/>
  <c r="ED2" i="15"/>
  <c r="EC2" i="15"/>
  <c r="EB2" i="15"/>
  <c r="EA2" i="15"/>
  <c r="DZ2" i="15"/>
  <c r="DY2" i="15"/>
  <c r="DX2" i="15"/>
  <c r="DW2" i="15"/>
  <c r="DV2" i="15"/>
  <c r="DU2" i="15"/>
  <c r="DT2" i="15"/>
  <c r="DS2" i="15"/>
  <c r="DR2" i="15"/>
  <c r="DQ2" i="15"/>
  <c r="DP2" i="15"/>
  <c r="DO2" i="15"/>
  <c r="DN2" i="15"/>
  <c r="DM2" i="15"/>
  <c r="DL2" i="15"/>
  <c r="DK2" i="15"/>
  <c r="DJ2" i="15"/>
  <c r="DI2" i="15"/>
  <c r="DH2" i="15"/>
  <c r="DG2" i="15"/>
  <c r="DF2" i="15"/>
  <c r="DE2" i="15"/>
  <c r="DD2" i="15"/>
  <c r="DC2" i="15"/>
  <c r="DB2" i="15"/>
  <c r="DA2" i="15"/>
  <c r="CZ2" i="15"/>
  <c r="CY2" i="15"/>
  <c r="CX2" i="15"/>
  <c r="CW2" i="15"/>
  <c r="CV2" i="15"/>
  <c r="CU2" i="15"/>
  <c r="CT2" i="15"/>
  <c r="CS2" i="15"/>
  <c r="CR2" i="15"/>
  <c r="CQ2" i="15"/>
  <c r="CP2" i="15"/>
  <c r="CO2" i="15"/>
  <c r="CN2" i="15"/>
  <c r="CM2" i="15"/>
  <c r="CL2" i="15"/>
  <c r="CK2" i="15"/>
  <c r="CJ2" i="15"/>
  <c r="CI2" i="15"/>
  <c r="CH2" i="15"/>
  <c r="CG2" i="15"/>
  <c r="CF2" i="15"/>
  <c r="CE2" i="15"/>
  <c r="CD2" i="15"/>
  <c r="CC2" i="15"/>
  <c r="CB2" i="15"/>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D4" i="13"/>
  <c r="D3" i="13"/>
  <c r="D28" i="24"/>
  <c r="D29" i="24" s="1"/>
  <c r="I104" i="24"/>
  <c r="AL11" i="25" s="1"/>
  <c r="J82" i="24"/>
  <c r="R11" i="25"/>
  <c r="L84" i="24"/>
  <c r="D104" i="24"/>
  <c r="AA11" i="25"/>
  <c r="C82" i="24"/>
  <c r="H11" i="25"/>
  <c r="C104" i="24"/>
  <c r="Z11" i="25" s="1"/>
  <c r="R57" i="24"/>
  <c r="R58" i="24"/>
  <c r="G66" i="24"/>
  <c r="L7" i="25"/>
  <c r="L82" i="24"/>
  <c r="T11" i="25"/>
  <c r="C66" i="24"/>
  <c r="E7" i="25" s="1"/>
  <c r="D66" i="24"/>
  <c r="F7" i="25"/>
  <c r="J106" i="24"/>
  <c r="B106" i="24"/>
  <c r="F66" i="24"/>
  <c r="K7" i="25" s="1"/>
  <c r="F69" i="24"/>
  <c r="K10" i="25"/>
  <c r="AY12" i="25"/>
  <c r="L57" i="24"/>
  <c r="L58" i="24" s="1"/>
  <c r="F84" i="24"/>
  <c r="I28" i="24"/>
  <c r="I29" i="24" s="1"/>
  <c r="R12" i="25"/>
  <c r="AS12" i="25"/>
  <c r="S57" i="24"/>
  <c r="S58" i="24"/>
  <c r="M82" i="24"/>
  <c r="U11" i="25"/>
  <c r="M95" i="24"/>
  <c r="P93" i="24"/>
  <c r="AV11" i="25"/>
  <c r="L95" i="24"/>
  <c r="L106" i="24"/>
  <c r="D84" i="24"/>
  <c r="C72" i="24"/>
  <c r="C95" i="24"/>
  <c r="D93" i="24"/>
  <c r="X11" i="25" s="1"/>
  <c r="J95" i="24"/>
  <c r="F12" i="25"/>
  <c r="F57" i="24"/>
  <c r="F58" i="24"/>
  <c r="I95" i="24"/>
  <c r="E28" i="24"/>
  <c r="E29" i="24" s="1"/>
  <c r="G106" i="24"/>
  <c r="AL12" i="25"/>
  <c r="I92" i="24"/>
  <c r="AI10" i="25"/>
  <c r="B57" i="24"/>
  <c r="B58" i="24"/>
  <c r="C93" i="24"/>
  <c r="W11" i="25" s="1"/>
  <c r="O93" i="24"/>
  <c r="AU11" i="25"/>
  <c r="G43" i="24"/>
  <c r="G44" i="24"/>
  <c r="L12" i="25"/>
  <c r="X12" i="25"/>
  <c r="Z12" i="25"/>
  <c r="AC12" i="25"/>
  <c r="AV12" i="25"/>
  <c r="AX12" i="25"/>
  <c r="F81" i="24"/>
  <c r="F43" i="24"/>
  <c r="F44" i="24" s="1"/>
  <c r="Q43" i="24"/>
  <c r="Q44" i="24" s="1"/>
  <c r="K57" i="24"/>
  <c r="K58" i="24"/>
  <c r="T57" i="24"/>
  <c r="T58" i="24" s="1"/>
  <c r="M81" i="24"/>
  <c r="U10" i="25"/>
  <c r="I82" i="24"/>
  <c r="Q11" i="25"/>
  <c r="J104" i="24"/>
  <c r="AM11" i="25" s="1"/>
  <c r="W57" i="24"/>
  <c r="W58" i="24"/>
  <c r="C14" i="24"/>
  <c r="C15" i="24"/>
  <c r="D82" i="24"/>
  <c r="I11" i="25" s="1"/>
  <c r="H14" i="24"/>
  <c r="H15" i="24" s="1"/>
  <c r="C43" i="24"/>
  <c r="C44" i="24" s="1"/>
  <c r="N44" i="24"/>
  <c r="P57" i="24"/>
  <c r="P58" i="24"/>
  <c r="H43" i="24"/>
  <c r="H44" i="24"/>
  <c r="I81" i="24"/>
  <c r="Q10" i="25" s="1"/>
  <c r="H57" i="24"/>
  <c r="H58" i="24"/>
  <c r="L81" i="24"/>
  <c r="G95" i="24"/>
  <c r="J92" i="24"/>
  <c r="AJ10" i="25" s="1"/>
  <c r="C103" i="24"/>
  <c r="J81" i="24"/>
  <c r="R10" i="25" s="1"/>
  <c r="F28" i="24"/>
  <c r="F29" i="24" s="1"/>
  <c r="C84" i="24"/>
  <c r="O12" i="25"/>
  <c r="F103" i="24"/>
  <c r="AF10" i="25" s="1"/>
  <c r="L103" i="24"/>
  <c r="AR10" i="25"/>
  <c r="G81" i="24"/>
  <c r="H81" i="24"/>
  <c r="P10" i="25" s="1"/>
  <c r="R44" i="24"/>
  <c r="H84" i="24"/>
  <c r="F92" i="24"/>
  <c r="M103" i="24"/>
  <c r="AS10" i="25" s="1"/>
  <c r="G103" i="24"/>
  <c r="F14" i="24"/>
  <c r="F15" i="24" s="1"/>
  <c r="N57" i="24"/>
  <c r="N58" i="24"/>
  <c r="J103" i="24"/>
  <c r="U43" i="24"/>
  <c r="U44" i="24" s="1"/>
  <c r="B14" i="24"/>
  <c r="B15" i="24" s="1"/>
  <c r="G69" i="24"/>
  <c r="L10" i="25"/>
  <c r="O92" i="24"/>
  <c r="AU10" i="25"/>
  <c r="P92" i="24"/>
  <c r="B43" i="24"/>
  <c r="B44" i="24"/>
  <c r="I103" i="24"/>
  <c r="B28" i="24"/>
  <c r="B29" i="24" s="1"/>
  <c r="V43" i="24"/>
  <c r="V44" i="24"/>
  <c r="P103" i="24"/>
  <c r="AY10" i="25" s="1"/>
  <c r="C69" i="24"/>
  <c r="E10" i="25"/>
  <c r="D69" i="24"/>
  <c r="G92" i="24"/>
  <c r="B103" i="24"/>
  <c r="Y10" i="25" s="1"/>
  <c r="D103" i="24"/>
  <c r="AA10" i="25" s="1"/>
  <c r="Z10" i="25"/>
  <c r="T10" i="25"/>
  <c r="AC10" i="25"/>
  <c r="O10" i="25"/>
  <c r="AG10" i="25"/>
  <c r="AD10" i="25"/>
  <c r="AV10" i="25"/>
  <c r="AL10" i="25"/>
  <c r="AU12" i="25"/>
  <c r="AM10" i="25"/>
  <c r="J85" i="24"/>
  <c r="N10" i="25"/>
  <c r="M59" i="24"/>
  <c r="M57" i="24"/>
  <c r="M58" i="24" s="1"/>
  <c r="U59" i="24"/>
  <c r="M104" i="24"/>
  <c r="F10" i="25"/>
  <c r="Q57" i="24"/>
  <c r="Q58" i="24"/>
  <c r="E59" i="24"/>
  <c r="E57" i="24"/>
  <c r="E58" i="24"/>
  <c r="L104" i="24"/>
  <c r="AR11" i="25" s="1"/>
  <c r="V57" i="24"/>
  <c r="V58" i="24" s="1"/>
  <c r="Q59" i="24"/>
  <c r="U57" i="24"/>
  <c r="U58" i="24" s="1"/>
  <c r="B59" i="24"/>
  <c r="B104" i="24"/>
  <c r="Y11" i="25" s="1"/>
  <c r="D78" i="24"/>
  <c r="K82" i="24"/>
  <c r="S11" i="25" s="1"/>
  <c r="B92" i="24"/>
  <c r="V10" i="25" s="1"/>
  <c r="U45" i="24"/>
  <c r="F78" i="24"/>
  <c r="B89" i="24"/>
  <c r="D89" i="24"/>
  <c r="I89" i="24"/>
  <c r="AI7" i="25" s="1"/>
  <c r="C78" i="24"/>
  <c r="I78" i="24"/>
  <c r="F30" i="24"/>
  <c r="H7" i="25"/>
  <c r="K102" i="24"/>
  <c r="AQ9" i="25" s="1"/>
  <c r="Q7" i="25"/>
  <c r="X7" i="25"/>
  <c r="I7" i="25"/>
  <c r="AS11" i="25"/>
  <c r="N7" i="25"/>
  <c r="AY7" i="25"/>
  <c r="V7" i="25"/>
  <c r="K104" i="24"/>
  <c r="AQ11" i="25" s="1"/>
  <c r="K8" i="25" l="1"/>
  <c r="F72" i="24"/>
  <c r="K12" i="25"/>
  <c r="D106" i="24"/>
  <c r="AA12" i="25"/>
  <c r="C28" i="24"/>
  <c r="C29" i="24" s="1"/>
  <c r="D81" i="24"/>
  <c r="D43" i="24"/>
  <c r="D44" i="24" s="1"/>
  <c r="C92" i="24"/>
  <c r="W10" i="25" s="1"/>
  <c r="E70" i="24"/>
  <c r="J11" i="25" s="1"/>
  <c r="G30" i="24"/>
  <c r="F82" i="24"/>
  <c r="N11" i="25" s="1"/>
  <c r="P7" i="25"/>
  <c r="H85" i="24"/>
  <c r="W7" i="25"/>
  <c r="AX7" i="25"/>
  <c r="H9" i="25"/>
  <c r="G16" i="24"/>
  <c r="E67" i="24" s="1"/>
  <c r="J8" i="25" s="1"/>
  <c r="F70" i="24"/>
  <c r="K11" i="25" s="1"/>
  <c r="G70" i="24"/>
  <c r="G14" i="24"/>
  <c r="G15" i="24" s="1"/>
  <c r="N90" i="24"/>
  <c r="AT8" i="25" s="1"/>
  <c r="N94" i="24"/>
  <c r="N91" i="24"/>
  <c r="AT9" i="25" s="1"/>
  <c r="N93" i="24"/>
  <c r="AT11" i="25" s="1"/>
  <c r="O45" i="24"/>
  <c r="E93" i="24"/>
  <c r="AB11" i="25" s="1"/>
  <c r="F93" i="24"/>
  <c r="AC11" i="25" s="1"/>
  <c r="G93" i="24"/>
  <c r="AD11" i="25" s="1"/>
  <c r="O43" i="24"/>
  <c r="O44" i="24" s="1"/>
  <c r="D100" i="24"/>
  <c r="C100" i="24"/>
  <c r="B100" i="24"/>
  <c r="AJ7" i="25"/>
  <c r="E91" i="24"/>
  <c r="AB9" i="25" s="1"/>
  <c r="E92" i="24"/>
  <c r="AB10" i="25" s="1"/>
  <c r="E94" i="24"/>
  <c r="E90" i="24"/>
  <c r="AB8" i="25" s="1"/>
  <c r="E82" i="24"/>
  <c r="M11" i="25" s="1"/>
  <c r="C81" i="24"/>
  <c r="H10" i="25" s="1"/>
  <c r="K101" i="24"/>
  <c r="AQ8" i="25" s="1"/>
  <c r="K103" i="24"/>
  <c r="AQ10" i="25" s="1"/>
  <c r="K105" i="24"/>
  <c r="P89" i="24"/>
  <c r="O89" i="24"/>
  <c r="N89" i="24"/>
  <c r="M92" i="24"/>
  <c r="AP10" i="25" s="1"/>
  <c r="L92" i="24"/>
  <c r="AO10" i="25" s="1"/>
  <c r="X43" i="24"/>
  <c r="X44" i="24" s="1"/>
  <c r="L100" i="24"/>
  <c r="K100" i="24"/>
  <c r="M100" i="24"/>
  <c r="U12" i="25"/>
  <c r="M84" i="24"/>
  <c r="M85" i="24" s="1"/>
  <c r="O57" i="24"/>
  <c r="O58" i="24" s="1"/>
  <c r="E104" i="24"/>
  <c r="AE11" i="25" s="1"/>
  <c r="G104" i="24"/>
  <c r="AG11" i="25" s="1"/>
  <c r="O59" i="24"/>
  <c r="F104" i="24"/>
  <c r="AF11" i="25" s="1"/>
  <c r="O7" i="25"/>
  <c r="I107" i="24"/>
  <c r="AL7" i="25"/>
  <c r="D92" i="24"/>
  <c r="G82" i="24"/>
  <c r="O11" i="25" s="1"/>
  <c r="AF12" i="25"/>
  <c r="F106" i="24"/>
  <c r="I59" i="24"/>
  <c r="O104" i="24"/>
  <c r="AX11" i="25" s="1"/>
  <c r="I57" i="24"/>
  <c r="I58" i="24" s="1"/>
  <c r="P104" i="24"/>
  <c r="AY11" i="25" s="1"/>
  <c r="E89" i="24"/>
  <c r="G89" i="24"/>
  <c r="F89" i="24"/>
  <c r="N102" i="24"/>
  <c r="AW9" i="25" s="1"/>
  <c r="N105" i="24"/>
  <c r="AP7" i="25"/>
  <c r="G28" i="24"/>
  <c r="G29" i="24" s="1"/>
  <c r="I84" i="24"/>
  <c r="I85" i="24" s="1"/>
  <c r="Q12" i="25"/>
  <c r="C70" i="24"/>
  <c r="B16" i="24"/>
  <c r="D70" i="24"/>
  <c r="B93" i="24"/>
  <c r="V11" i="25" s="1"/>
  <c r="B90" i="24"/>
  <c r="B94" i="24"/>
  <c r="B91" i="24"/>
  <c r="V9" i="25" s="1"/>
  <c r="H94" i="24"/>
  <c r="Y45" i="24"/>
  <c r="M93" i="24"/>
  <c r="AP11" i="25" s="1"/>
  <c r="Y43" i="24"/>
  <c r="Y44" i="24" s="1"/>
  <c r="L93" i="24"/>
  <c r="AO11" i="25" s="1"/>
  <c r="K93" i="24"/>
  <c r="AN11" i="25" s="1"/>
  <c r="T7" i="25"/>
  <c r="L85" i="24"/>
  <c r="AG7" i="25"/>
  <c r="G107" i="24"/>
  <c r="H102" i="24"/>
  <c r="AK9" i="25" s="1"/>
  <c r="H105" i="24"/>
  <c r="H101" i="24"/>
  <c r="AK8" i="25" s="1"/>
  <c r="N9" i="25"/>
  <c r="J57" i="24"/>
  <c r="J58" i="24" s="1"/>
  <c r="O103" i="24"/>
  <c r="AX10" i="25" s="1"/>
  <c r="N103" i="24"/>
  <c r="AW10" i="25" s="1"/>
  <c r="K78" i="24"/>
  <c r="K83" i="24"/>
  <c r="K79" i="24"/>
  <c r="S8" i="25" s="1"/>
  <c r="K80" i="24"/>
  <c r="S9" i="25" s="1"/>
  <c r="K81" i="24"/>
  <c r="S10" i="25" s="1"/>
  <c r="J93" i="24"/>
  <c r="AJ11" i="25" s="1"/>
  <c r="I93" i="24"/>
  <c r="S45" i="24"/>
  <c r="H92" i="24" s="1"/>
  <c r="AH10" i="25" s="1"/>
  <c r="S43" i="24"/>
  <c r="S44" i="24" s="1"/>
  <c r="H104" i="24"/>
  <c r="AK11" i="25" s="1"/>
  <c r="U7" i="25"/>
  <c r="AO7" i="25"/>
  <c r="B30" i="24"/>
  <c r="J100" i="24"/>
  <c r="H100" i="24"/>
  <c r="H89" i="24" l="1"/>
  <c r="E11" i="25"/>
  <c r="C73" i="24"/>
  <c r="N100" i="24"/>
  <c r="N101" i="24"/>
  <c r="AW8" i="25" s="1"/>
  <c r="G85" i="24"/>
  <c r="AU7" i="25"/>
  <c r="O96" i="24"/>
  <c r="AA7" i="25"/>
  <c r="D107" i="24"/>
  <c r="N95" i="24"/>
  <c r="AT12" i="25"/>
  <c r="F107" i="24"/>
  <c r="E78" i="24"/>
  <c r="E79" i="24"/>
  <c r="M8" i="25" s="1"/>
  <c r="E80" i="24"/>
  <c r="M9" i="25" s="1"/>
  <c r="E83" i="24"/>
  <c r="E81" i="24"/>
  <c r="M10" i="25" s="1"/>
  <c r="K84" i="24"/>
  <c r="S12" i="25"/>
  <c r="AK12" i="25"/>
  <c r="H106" i="24"/>
  <c r="H107" i="24" s="1"/>
  <c r="H93" i="24"/>
  <c r="AH11" i="25" s="1"/>
  <c r="F96" i="24"/>
  <c r="AC7" i="25"/>
  <c r="AS7" i="25"/>
  <c r="M107" i="24"/>
  <c r="P96" i="24"/>
  <c r="AV7" i="25"/>
  <c r="AB12" i="25"/>
  <c r="E95" i="24"/>
  <c r="S7" i="25"/>
  <c r="K85" i="24"/>
  <c r="G96" i="24"/>
  <c r="AD7" i="25"/>
  <c r="E102" i="24"/>
  <c r="AE9" i="25" s="1"/>
  <c r="E101" i="24"/>
  <c r="AE8" i="25" s="1"/>
  <c r="E103" i="24"/>
  <c r="AE10" i="25" s="1"/>
  <c r="E100" i="24"/>
  <c r="E105" i="24"/>
  <c r="AQ7" i="25"/>
  <c r="K107" i="24"/>
  <c r="K106" i="24"/>
  <c r="AQ12" i="25"/>
  <c r="O107" i="24"/>
  <c r="N106" i="24"/>
  <c r="AW12" i="25"/>
  <c r="K94" i="24"/>
  <c r="K90" i="24"/>
  <c r="AN8" i="25" s="1"/>
  <c r="K91" i="24"/>
  <c r="AN9" i="25" s="1"/>
  <c r="K89" i="24"/>
  <c r="B95" i="24"/>
  <c r="V12" i="25"/>
  <c r="AB7" i="25"/>
  <c r="E96" i="24"/>
  <c r="AR7" i="25"/>
  <c r="L107" i="24"/>
  <c r="L11" i="25"/>
  <c r="G73" i="24"/>
  <c r="AK7" i="25"/>
  <c r="H91" i="24"/>
  <c r="AH9" i="25" s="1"/>
  <c r="X10" i="25"/>
  <c r="D96" i="24"/>
  <c r="J96" i="24"/>
  <c r="C96" i="24"/>
  <c r="D85" i="24"/>
  <c r="I10" i="25"/>
  <c r="F73" i="24"/>
  <c r="AT7" i="25"/>
  <c r="N96" i="24"/>
  <c r="J107" i="24"/>
  <c r="AM7" i="25"/>
  <c r="B78" i="24"/>
  <c r="B79" i="24"/>
  <c r="G8" i="25" s="1"/>
  <c r="B83" i="24"/>
  <c r="B80" i="24"/>
  <c r="G9" i="25" s="1"/>
  <c r="L96" i="24"/>
  <c r="H90" i="24"/>
  <c r="AH8" i="25" s="1"/>
  <c r="N104" i="24"/>
  <c r="AW11" i="25" s="1"/>
  <c r="E66" i="24"/>
  <c r="E69" i="24"/>
  <c r="J10" i="25" s="1"/>
  <c r="E68" i="24"/>
  <c r="J9" i="25" s="1"/>
  <c r="E71" i="24"/>
  <c r="AH12" i="25"/>
  <c r="H95" i="24"/>
  <c r="B69" i="24"/>
  <c r="D10" i="25" s="1"/>
  <c r="C10" i="25" s="1"/>
  <c r="E26" i="14" s="1"/>
  <c r="B70" i="24"/>
  <c r="D11" i="25" s="1"/>
  <c r="C11" i="25" s="1"/>
  <c r="E27" i="14" s="1"/>
  <c r="E28" i="14" s="1"/>
  <c r="B66" i="24"/>
  <c r="B71" i="24"/>
  <c r="B67" i="24"/>
  <c r="D8" i="25" s="1"/>
  <c r="C8" i="25" s="1"/>
  <c r="E24" i="14" s="1"/>
  <c r="B68" i="24"/>
  <c r="D9" i="25" s="1"/>
  <c r="C9" i="25" s="1"/>
  <c r="E25" i="14" s="1"/>
  <c r="Z7" i="25"/>
  <c r="C107" i="24"/>
  <c r="AI11" i="25"/>
  <c r="I96" i="24"/>
  <c r="V8" i="25"/>
  <c r="B96" i="24"/>
  <c r="F85" i="24"/>
  <c r="D73" i="24"/>
  <c r="F11" i="25"/>
  <c r="M96" i="24"/>
  <c r="B82" i="24"/>
  <c r="G11" i="25" s="1"/>
  <c r="P107" i="24"/>
  <c r="Y7" i="25"/>
  <c r="B107" i="24"/>
  <c r="C85" i="24"/>
  <c r="B81" i="24"/>
  <c r="G10" i="25" s="1"/>
  <c r="K92" i="24"/>
  <c r="AN10" i="25" s="1"/>
  <c r="AN12" i="25" l="1"/>
  <c r="K95" i="24"/>
  <c r="E106" i="24"/>
  <c r="AE12" i="25"/>
  <c r="AE7" i="25"/>
  <c r="E107" i="24"/>
  <c r="M7" i="25"/>
  <c r="E85" i="24"/>
  <c r="J12" i="25"/>
  <c r="E72" i="24"/>
  <c r="G12" i="25"/>
  <c r="B84" i="24"/>
  <c r="N107" i="24"/>
  <c r="AW7" i="25"/>
  <c r="AN7" i="25"/>
  <c r="K96" i="24"/>
  <c r="D12" i="25"/>
  <c r="C12" i="25" s="1"/>
  <c r="E30" i="14" s="1"/>
  <c r="B72" i="24"/>
  <c r="G7" i="25"/>
  <c r="B85" i="24"/>
  <c r="D7" i="25"/>
  <c r="C7" i="25" s="1"/>
  <c r="E23" i="14" s="1"/>
  <c r="B73" i="24"/>
  <c r="E73" i="24"/>
  <c r="J7" i="25"/>
  <c r="E84" i="24"/>
  <c r="M12" i="25"/>
  <c r="H96" i="24"/>
  <c r="AH7" i="25"/>
  <c r="E32" i="14" l="1"/>
  <c r="E31" i="14"/>
  <c r="E34" i="14" s="1"/>
  <c r="E35" i="14" s="1"/>
  <c r="E36" i="14" s="1"/>
  <c r="G51" i="14" l="1"/>
  <c r="I51" i="14" s="1"/>
  <c r="E37" i="14"/>
  <c r="G43" i="14" s="1"/>
  <c r="I43" i="14" s="1"/>
</calcChain>
</file>

<file path=xl/comments1.xml><?xml version="1.0" encoding="utf-8"?>
<comments xmlns="http://schemas.openxmlformats.org/spreadsheetml/2006/main">
  <authors>
    <author>Jeremie Isaac Hakian</author>
  </authors>
  <commentList>
    <comment ref="A8" authorId="0" shapeId="0">
      <text>
        <r>
          <rPr>
            <b/>
            <sz val="9"/>
            <color indexed="81"/>
            <rFont val="Tahoma"/>
            <family val="2"/>
          </rPr>
          <t>Jeremie Isaac Hakian:</t>
        </r>
        <r>
          <rPr>
            <sz val="9"/>
            <color indexed="81"/>
            <rFont val="Tahoma"/>
            <family val="2"/>
          </rPr>
          <t xml:space="preserve">
 If casing pressure is not available for each well, you may determine the casing pressure by multiplying the tubing pressure of each well with a ratio of casing pressure to tubing pressure from a well in the same sub-basin for which the casing pressure is known. The tubing pressure must be measured during gas flow to a flow-line. The shut-in pressure, surface pressure, or casing pressure must be determined just prior to liquids unloading when the well production is impeded by liquids loading or closed to the flow-line by surface valves.</t>
        </r>
      </text>
    </comment>
  </commentList>
</comments>
</file>

<file path=xl/comments2.xml><?xml version="1.0" encoding="utf-8"?>
<comments xmlns="http://schemas.openxmlformats.org/spreadsheetml/2006/main">
  <authors>
    <author>Jeremie Isaac Hakian</author>
  </authors>
  <commentList>
    <comment ref="B3" authorId="0" shapeId="0">
      <text>
        <r>
          <rPr>
            <b/>
            <sz val="9"/>
            <color indexed="81"/>
            <rFont val="Tahoma"/>
            <family val="2"/>
          </rPr>
          <t>Jeremie Isaac Hakian:</t>
        </r>
        <r>
          <rPr>
            <sz val="9"/>
            <color indexed="81"/>
            <rFont val="Tahoma"/>
            <family val="2"/>
          </rPr>
          <t xml:space="preserve">
0.37E-03 = (3.14/4)/(14.7*144)
Where, 
3.14 = pi
14.7 psi/psia
144in2/1ft2
</t>
        </r>
      </text>
    </comment>
    <comment ref="B17" authorId="0" shapeId="0">
      <text>
        <r>
          <rPr>
            <b/>
            <sz val="9"/>
            <color indexed="81"/>
            <rFont val="Tahoma"/>
            <family val="2"/>
          </rPr>
          <t>Jeremie Isaac Hakian:</t>
        </r>
        <r>
          <rPr>
            <sz val="9"/>
            <color indexed="81"/>
            <rFont val="Tahoma"/>
            <family val="2"/>
          </rPr>
          <t xml:space="preserve">
0.37E-03 = (3.14/4)/(14.7*144)
Where, 
3.14 = pi
14.7 psi/psia
144in2/1ft2</t>
        </r>
      </text>
    </comment>
    <comment ref="B32" authorId="0" shapeId="0">
      <text>
        <r>
          <rPr>
            <b/>
            <sz val="9"/>
            <color indexed="81"/>
            <rFont val="Tahoma"/>
            <family val="2"/>
          </rPr>
          <t>Jeremie Isaac Hakian:</t>
        </r>
        <r>
          <rPr>
            <sz val="9"/>
            <color indexed="81"/>
            <rFont val="Tahoma"/>
            <family val="2"/>
          </rPr>
          <t xml:space="preserve">
0.37E-03 = (3.14/4)/(14.7*144)
Where, 
3.14 = pi
14.7 psi/psia
144in2/1ft2</t>
        </r>
      </text>
    </comment>
    <comment ref="B46" authorId="0" shapeId="0">
      <text>
        <r>
          <rPr>
            <b/>
            <sz val="9"/>
            <color indexed="81"/>
            <rFont val="Tahoma"/>
            <family val="2"/>
          </rPr>
          <t>Jeremie Isaac Hakian:</t>
        </r>
        <r>
          <rPr>
            <sz val="9"/>
            <color indexed="81"/>
            <rFont val="Tahoma"/>
            <family val="2"/>
          </rPr>
          <t xml:space="preserve">
0.37E-03 = (3.14/4)/(14.7*144)
Where, 
3.14 = pi
14.7 psi/psia
144in2/1ft2</t>
        </r>
      </text>
    </comment>
  </commentList>
</comments>
</file>

<file path=xl/sharedStrings.xml><?xml version="1.0" encoding="utf-8"?>
<sst xmlns="http://schemas.openxmlformats.org/spreadsheetml/2006/main" count="898" uniqueCount="430">
  <si>
    <t>Conversions</t>
  </si>
  <si>
    <t>Conversion Factors</t>
  </si>
  <si>
    <t>References</t>
  </si>
  <si>
    <t>kg</t>
  </si>
  <si>
    <t>Field Name</t>
  </si>
  <si>
    <t>Number</t>
  </si>
  <si>
    <t>SourceType</t>
  </si>
  <si>
    <t>Separate Publication</t>
  </si>
  <si>
    <t>Article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</si>
  <si>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</si>
  <si>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</si>
  <si>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</si>
  <si>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</si>
  <si>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</si>
  <si>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</si>
  <si>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</si>
  <si>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</si>
  <si>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</si>
  <si>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</si>
  <si>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</si>
  <si>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</si>
  <si>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</si>
  <si>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</si>
  <si>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</si>
  <si>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</si>
  <si>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</si>
  <si>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Data Type (Origin)</t>
  </si>
  <si>
    <t>Estimated</t>
  </si>
  <si>
    <t>Year Data Represents</t>
  </si>
  <si>
    <t>Geographical Representation</t>
  </si>
  <si>
    <t>Representativeness</t>
  </si>
  <si>
    <t>BibliographicText</t>
  </si>
  <si>
    <t>Text/Description</t>
  </si>
  <si>
    <t>Reference Source Info Lists</t>
  </si>
  <si>
    <t>Source Type</t>
  </si>
  <si>
    <t>&lt;select from list&gt;</t>
  </si>
  <si>
    <t>Undefined</t>
  </si>
  <si>
    <t>Chapters in Anthology</t>
  </si>
  <si>
    <t>Measurement on Site</t>
  </si>
  <si>
    <t>Oral Communication</t>
  </si>
  <si>
    <t>Personal Written Communication</t>
  </si>
  <si>
    <t>Questionnaires</t>
  </si>
  <si>
    <t>Calculations</t>
  </si>
  <si>
    <t>Summary</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</si>
  <si>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</si>
  <si>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</si>
  <si>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</si>
  <si>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</si>
  <si>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</si>
  <si>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</si>
  <si>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</si>
  <si>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</si>
  <si>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</si>
  <si>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</si>
  <si>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</si>
  <si>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</si>
  <si>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</si>
  <si>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</si>
  <si>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</si>
  <si>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</si>
  <si>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Unit Conversions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</si>
  <si>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</si>
  <si>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</si>
  <si>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</si>
  <si>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</si>
  <si>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</si>
  <si>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</si>
  <si>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</si>
  <si>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</si>
  <si>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</si>
  <si>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</si>
  <si>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</si>
  <si>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of</t>
  </si>
  <si>
    <t>(see DQI sheet for explanation)</t>
  </si>
  <si>
    <t>Brief Description:</t>
  </si>
  <si>
    <t>SECTION I: META DATA</t>
  </si>
  <si>
    <t>Geographical Coverage:</t>
  </si>
  <si>
    <t>Region</t>
  </si>
  <si>
    <t>Year Data Best Represents:</t>
  </si>
  <si>
    <t>Process Type:</t>
  </si>
  <si>
    <t>Energy Conversion (EC)</t>
  </si>
  <si>
    <t>Process Scope:</t>
  </si>
  <si>
    <t>Gate-to-Gate Process (GG)</t>
  </si>
  <si>
    <t>Allocation Applied:</t>
  </si>
  <si>
    <t>Completeness:</t>
  </si>
  <si>
    <t>All Relevant Flows Captured</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</si>
  <si>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</si>
  <si>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</si>
  <si>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</si>
  <si>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</si>
  <si>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</si>
  <si>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</si>
  <si>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Units</t>
  </si>
  <si>
    <t>Comments</t>
  </si>
  <si>
    <t>End of List</t>
  </si>
  <si>
    <t>SECTION III: INPUT FLOWS</t>
  </si>
  <si>
    <t>This section includes all input flows considered for this unit process</t>
  </si>
  <si>
    <t>Parameter</t>
  </si>
  <si>
    <t>Flow Name</t>
  </si>
  <si>
    <t>Unit</t>
  </si>
  <si>
    <t>Total</t>
  </si>
  <si>
    <t>Units per RF</t>
  </si>
  <si>
    <t>Tracked</t>
  </si>
  <si>
    <t>Origin</t>
  </si>
  <si>
    <t>X</t>
  </si>
  <si>
    <t xml:space="preserve">&lt;select this entire row, then insert new row&gt; </t>
  </si>
  <si>
    <t>Factor</t>
  </si>
  <si>
    <t>Amount</t>
  </si>
  <si>
    <t>SECTION IV: OUTPUT FLOWS</t>
  </si>
  <si>
    <t>This section includes all output flows considered for this unit process</t>
  </si>
  <si>
    <t>Calculated</t>
  </si>
  <si>
    <t>Reference flow</t>
  </si>
  <si>
    <t>Detailed Spreadsheet Lists</t>
  </si>
  <si>
    <t>Process Type</t>
  </si>
  <si>
    <t>Process Scope</t>
  </si>
  <si>
    <t>Completeness</t>
  </si>
  <si>
    <t>Extraction Process (EP)</t>
  </si>
  <si>
    <t>Cradle-to-Grave (End-of-Life) Process (CE)</t>
  </si>
  <si>
    <t>All Flows Captured</t>
  </si>
  <si>
    <t>Measured</t>
  </si>
  <si>
    <t>Manufacturing Process (MP)</t>
  </si>
  <si>
    <t>Cradle-to-Gate Process (CG)</t>
  </si>
  <si>
    <t>*</t>
  </si>
  <si>
    <t>Installation Process (IP)</t>
  </si>
  <si>
    <t>Individual Relevant Flows Captured</t>
  </si>
  <si>
    <t>Literature</t>
  </si>
  <si>
    <t>Basic Process (BP)</t>
  </si>
  <si>
    <t>Gate-to-Grave (End-of-Life) Process (GE)</t>
  </si>
  <si>
    <t>Some Relevant Flows Not Captured</t>
  </si>
  <si>
    <t>No Statement</t>
  </si>
  <si>
    <t>Transport Process (TP)</t>
  </si>
  <si>
    <t>Recovery Process (RP)</t>
  </si>
  <si>
    <t>Waste Treatment Process (WT)</t>
  </si>
  <si>
    <t>Auxiliary Process (AP)</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</si>
  <si>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</si>
  <si>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</si>
  <si>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</si>
  <si>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</si>
  <si>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</si>
  <si>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</si>
  <si>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</si>
  <si>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</si>
  <si>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</si>
  <si>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</si>
  <si>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</si>
  <si>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</si>
  <si>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</si>
  <si>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</si>
  <si>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</si>
  <si>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</si>
  <si>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</si>
  <si>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</si>
  <si>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</si>
  <si>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</si>
  <si>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</si>
  <si>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</si>
  <si>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</si>
  <si>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</si>
  <si>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</si>
  <si>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</si>
  <si>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</si>
  <si>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</si>
  <si>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</si>
  <si>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</si>
  <si>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</si>
  <si>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</si>
  <si>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</si>
  <si>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</si>
  <si>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</si>
  <si>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</si>
  <si>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</si>
  <si>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</si>
  <si>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</si>
  <si>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</si>
  <si>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</si>
  <si>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</si>
  <si>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</si>
  <si>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</si>
  <si>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</si>
  <si>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</si>
  <si>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</si>
  <si>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</si>
  <si>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</si>
  <si>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</si>
  <si>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</si>
  <si>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</si>
  <si>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</si>
  <si>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</si>
  <si>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</si>
  <si>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</si>
  <si>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</si>
  <si>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</si>
  <si>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</si>
  <si>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</si>
  <si>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</si>
  <si>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</si>
  <si>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</si>
  <si>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</si>
  <si>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</si>
  <si>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</si>
  <si>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</si>
  <si>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</si>
  <si>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</si>
  <si>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</si>
  <si>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</si>
  <si>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</si>
  <si>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Internet Access Date</t>
  </si>
  <si>
    <t>Min. Value</t>
  </si>
  <si>
    <t>Max. Value</t>
  </si>
  <si>
    <t>Product_rate</t>
  </si>
  <si>
    <t>United States</t>
  </si>
  <si>
    <t>scf natural gas</t>
  </si>
  <si>
    <t>lb</t>
  </si>
  <si>
    <t>kg/kg</t>
  </si>
  <si>
    <t>No</t>
  </si>
  <si>
    <t>2,2,2,2,3</t>
  </si>
  <si>
    <t>2,2,2,2,2</t>
  </si>
  <si>
    <t>Vent_product</t>
  </si>
  <si>
    <t>Vent_episode</t>
  </si>
  <si>
    <t>Natural gas USA [Natural gas (resource)]</t>
  </si>
  <si>
    <t>Natural Gas Well, Venting From Liquid Unloading</t>
  </si>
  <si>
    <t>Requirements Met/OK</t>
  </si>
  <si>
    <t xml:space="preserve"> </t>
  </si>
  <si>
    <t xml:space="preserve">This unit process quantifies the mass of vented natural gas that is anticipated to occur during liquid unloading at a natural gas well. </t>
  </si>
  <si>
    <t>Abbreviations used throughout this DS: NG (natural gas), bbl (barrel), scf (standard cubic foot), cf (cubic foot)</t>
  </si>
  <si>
    <t>Conventional Gas Wells</t>
  </si>
  <si>
    <t>With plunger</t>
  </si>
  <si>
    <t>Variable</t>
  </si>
  <si>
    <t>Gulf Coast</t>
  </si>
  <si>
    <t>Mid-Continent</t>
  </si>
  <si>
    <t>Southwest</t>
  </si>
  <si>
    <t># venting wells</t>
  </si>
  <si>
    <t>V</t>
  </si>
  <si>
    <t>vents/well-yr</t>
  </si>
  <si>
    <t>TD</t>
  </si>
  <si>
    <t>in</t>
  </si>
  <si>
    <t>WD</t>
  </si>
  <si>
    <t>ft</t>
  </si>
  <si>
    <t>SP</t>
  </si>
  <si>
    <t>psia</t>
  </si>
  <si>
    <t>SFR</t>
  </si>
  <si>
    <r>
      <t>ft</t>
    </r>
    <r>
      <rPr>
        <vertAlign val="superscript"/>
        <sz val="11"/>
        <color indexed="8"/>
        <rFont val="Calibri"/>
        <family val="2"/>
      </rPr>
      <t>3</t>
    </r>
    <r>
      <rPr>
        <sz val="11"/>
        <color theme="1"/>
        <rFont val="Calibri"/>
        <family val="2"/>
        <scheme val="minor"/>
      </rPr>
      <t>/hr</t>
    </r>
  </si>
  <si>
    <t>HR</t>
  </si>
  <si>
    <t>hr</t>
  </si>
  <si>
    <t>Z</t>
  </si>
  <si>
    <t>dimensionless</t>
  </si>
  <si>
    <t>E</t>
  </si>
  <si>
    <t>Emissions per well</t>
  </si>
  <si>
    <t>Without plunger</t>
  </si>
  <si>
    <t>vents/well</t>
  </si>
  <si>
    <t>CD</t>
  </si>
  <si>
    <t>Unconventional Gas Wells</t>
  </si>
  <si>
    <t>Rocky Mountain</t>
  </si>
  <si>
    <t>Northeast</t>
  </si>
  <si>
    <r>
      <t>ft</t>
    </r>
    <r>
      <rPr>
        <vertAlign val="superscript"/>
        <sz val="11"/>
        <color indexed="8"/>
        <rFont val="Calibri"/>
        <family val="2"/>
      </rPr>
      <t>3</t>
    </r>
    <r>
      <rPr>
        <sz val="11"/>
        <color theme="1"/>
        <rFont val="Calibri"/>
        <family val="2"/>
        <scheme val="minor"/>
      </rPr>
      <t>/yr</t>
    </r>
  </si>
  <si>
    <r>
      <t>ft</t>
    </r>
    <r>
      <rPr>
        <vertAlign val="superscript"/>
        <sz val="11"/>
        <color indexed="8"/>
        <rFont val="Calibri"/>
        <family val="2"/>
      </rPr>
      <t>3</t>
    </r>
    <r>
      <rPr>
        <sz val="11"/>
        <color theme="1"/>
        <rFont val="Calibri"/>
        <family val="2"/>
        <scheme val="minor"/>
      </rPr>
      <t>/well-yr</t>
    </r>
  </si>
  <si>
    <t>Unconventional, plunger</t>
  </si>
  <si>
    <t>Mid-Continent, Expected</t>
  </si>
  <si>
    <t>Northeast, Expected</t>
  </si>
  <si>
    <t>Northeast, Min</t>
  </si>
  <si>
    <t>Northeast, Max</t>
  </si>
  <si>
    <t>Mid-Continent, Min</t>
  </si>
  <si>
    <t>Mid-Continent, Max</t>
  </si>
  <si>
    <t>Southwest, Expected</t>
  </si>
  <si>
    <t>Southwest, Min</t>
  </si>
  <si>
    <t>Southwest, Max</t>
  </si>
  <si>
    <t>Rocky Mountain, Expected</t>
  </si>
  <si>
    <t>Rocky Mountain, Min</t>
  </si>
  <si>
    <t>Rocky Mountain, Max</t>
  </si>
  <si>
    <t>Unconventional, no plunger</t>
  </si>
  <si>
    <t>Conventional, no plunger</t>
  </si>
  <si>
    <t>Conventional, plunger</t>
  </si>
  <si>
    <t>Gulf Coast, Expected</t>
  </si>
  <si>
    <t>Gulf Coast, Min</t>
  </si>
  <si>
    <t>Gulf Coast, Max</t>
  </si>
  <si>
    <t>Parameter Scenarios</t>
  </si>
  <si>
    <t>Enter a Scenario ID below:</t>
  </si>
  <si>
    <t>Scenario ID</t>
  </si>
  <si>
    <t>[Units] Comments</t>
  </si>
  <si>
    <t>Scenario Descriptions:</t>
  </si>
  <si>
    <t>Conventional, Northeast, Plunger, Expected</t>
  </si>
  <si>
    <t>Conventional, Northeast, Plunger, Min</t>
  </si>
  <si>
    <t>Conventional, Northeast, Plunger, Max</t>
  </si>
  <si>
    <t>Conventional, Northeast, NO Plunger, Expected</t>
  </si>
  <si>
    <t>Conventional, Northeast, NO Plunger, Min</t>
  </si>
  <si>
    <t>Conventional, Northeast, NO Plunger, Max</t>
  </si>
  <si>
    <t>Conventional, Mid-Continent, Plunger, Expected</t>
  </si>
  <si>
    <t>Conventional, Mid-Continent, Plunger, Min</t>
  </si>
  <si>
    <t>Conventional, Mid-Continent, Plunger, Max</t>
  </si>
  <si>
    <t>Conventional, Mid-Continent, NO Plunger, Expected</t>
  </si>
  <si>
    <t>Conventional, Mid-Continent, NO Plunger, Min</t>
  </si>
  <si>
    <t>Conventional, Mid-Continent, NO Plunger, Max</t>
  </si>
  <si>
    <t>Conventional, Southwest, NO Plunger, Expected</t>
  </si>
  <si>
    <t>Conventional, Southwest, NO Plunger, Min</t>
  </si>
  <si>
    <t>Conventional, Southwest, NO Plunger, Max</t>
  </si>
  <si>
    <t>Conventional, Gulf Coast, NO Plunger, Expected</t>
  </si>
  <si>
    <t>Conventional, Gulf Coast, NO Plunger, Min</t>
  </si>
  <si>
    <t>Conventional, Gulf Coast, NO Plunger, Max</t>
  </si>
  <si>
    <t>Unconventional, Northeast, Plunger, Expected</t>
  </si>
  <si>
    <t>Unconventional, Northeast, Plunger, Min</t>
  </si>
  <si>
    <t>Unconventional, Northeast, Plunger, Max</t>
  </si>
  <si>
    <t>Unconventional, Northeast, NO Plunger, Expected</t>
  </si>
  <si>
    <t>Unconventional, Northeast, NO Plunger, Min</t>
  </si>
  <si>
    <t>Unconventional, Northeast, NO Plunger, Max</t>
  </si>
  <si>
    <t>Unconventional, Mid-Continent, Plunger, Expected</t>
  </si>
  <si>
    <t>Unconventional, Mid-Continent, Plunger, Min</t>
  </si>
  <si>
    <t>Unconventional, Mid-Continent, Plunger, Max</t>
  </si>
  <si>
    <t>Unconventional, Southwest, Plunger, Expected</t>
  </si>
  <si>
    <t>Unconventional, Southwest, Plunger, Min</t>
  </si>
  <si>
    <t>Unconventional, Southwest, Plunger, Max</t>
  </si>
  <si>
    <t>Unconventional, Southwest, NO Plunger, Expected</t>
  </si>
  <si>
    <t>Unconventional, Southwest, NO Plunger, Min</t>
  </si>
  <si>
    <t>Unconventional, Southwest, NO Plunger, Max</t>
  </si>
  <si>
    <t>Unconventional, Rocky Mountains, Plunger, Expected</t>
  </si>
  <si>
    <t>Unconventional, Rocky Mountains, Plunger, Min</t>
  </si>
  <si>
    <t>Unconventional, Rocky Mountains, Plunger, Max</t>
  </si>
  <si>
    <t>Unconventional, Rocky Mountains, NO Plunger, Expected</t>
  </si>
  <si>
    <t>Unconventional, Rocky Mountains, NO Plunger, Min</t>
  </si>
  <si>
    <t>Unconventional, Rocky Mountains, NO Plunger, Max</t>
  </si>
  <si>
    <t>Unconventional, Gulf Coast, Plunger, Expected</t>
  </si>
  <si>
    <t>Unconventional, Gulf Coast, Plunger, Min</t>
  </si>
  <si>
    <t>Unconventional, Gulf Coast, Plunger, Max</t>
  </si>
  <si>
    <t>Unconventional, Gulf Coast, NO Plunger, Expected</t>
  </si>
  <si>
    <t>Unconventional, Gulf Coast, NO Plunger, Min</t>
  </si>
  <si>
    <t>Unconventional, Gulf Coast, NO Plunger, Max</t>
  </si>
  <si>
    <t>[ft] Well depth</t>
  </si>
  <si>
    <t>[psia] Shut-in pressure or surface pressure for wells with tubing production, or casing pressure for each well with no packers</t>
  </si>
  <si>
    <t>[in] Casing or Tubing Internal Diameter for non-plunger wells and plunger wells, respectively</t>
  </si>
  <si>
    <r>
      <t>[ft</t>
    </r>
    <r>
      <rPr>
        <vertAlign val="superscript"/>
        <sz val="10"/>
        <color indexed="8"/>
        <rFont val="Arial"/>
        <family val="2"/>
      </rPr>
      <t>3</t>
    </r>
    <r>
      <rPr>
        <sz val="10"/>
        <color indexed="8"/>
        <rFont val="Arial"/>
        <family val="2"/>
      </rPr>
      <t>/hr] Average flow-line rate of gas for well</t>
    </r>
  </si>
  <si>
    <t>[hr] Hours of unloading event</t>
  </si>
  <si>
    <t>[Vents/well] Total number of unloading events per well</t>
  </si>
  <si>
    <t>Regions Map</t>
  </si>
  <si>
    <t>Definition</t>
  </si>
  <si>
    <t>Total number of unloading events per well (events/well)</t>
  </si>
  <si>
    <t>Tubing internal diameter for each well (in)</t>
  </si>
  <si>
    <t>Casing internal diameter for each well (in)</t>
  </si>
  <si>
    <t>Well depth (ft)</t>
  </si>
  <si>
    <r>
      <t xml:space="preserve"> Average flow-line rate of gas for well (ft</t>
    </r>
    <r>
      <rPr>
        <vertAlign val="superscript"/>
        <sz val="11"/>
        <color indexed="8"/>
        <rFont val="Calibri"/>
        <family val="2"/>
      </rPr>
      <t>3</t>
    </r>
    <r>
      <rPr>
        <sz val="11"/>
        <color theme="1"/>
        <rFont val="Calibri"/>
        <family val="2"/>
        <scheme val="minor"/>
      </rPr>
      <t>/hr)</t>
    </r>
  </si>
  <si>
    <t>Hours of unloading event (hr)</t>
  </si>
  <si>
    <t>Parameter Definitions</t>
  </si>
  <si>
    <t>Internal_diam</t>
  </si>
  <si>
    <t>Well_Depth</t>
  </si>
  <si>
    <t>Pressure</t>
  </si>
  <si>
    <t>Hour_Vent</t>
  </si>
  <si>
    <t>Z_Coeff</t>
  </si>
  <si>
    <t>wells</t>
  </si>
  <si>
    <t>Vents/well</t>
  </si>
  <si>
    <t>ft3/hr</t>
  </si>
  <si>
    <t>IF(Hour_Vent&lt;0.5,0,1)</t>
  </si>
  <si>
    <t>[ft3/hr] Average flow-line rate of natural gas for well</t>
  </si>
  <si>
    <t>Flow_Rate_NG</t>
  </si>
  <si>
    <t>Conv_Coeff</t>
  </si>
  <si>
    <t>kg/scf</t>
  </si>
  <si>
    <t>[kg/scf] kg natural gas per standard cubic foot of natural gas</t>
  </si>
  <si>
    <t>ft3/yr</t>
  </si>
  <si>
    <t>Plunger_Switch</t>
  </si>
  <si>
    <t>binary</t>
  </si>
  <si>
    <r>
      <t>Annual natural gas emissions for each sub-basin at standard conditions (ft</t>
    </r>
    <r>
      <rPr>
        <vertAlign val="superscript"/>
        <sz val="11"/>
        <color indexed="8"/>
        <rFont val="Calibri"/>
        <family val="2"/>
      </rPr>
      <t>3</t>
    </r>
    <r>
      <rPr>
        <sz val="11"/>
        <color theme="1"/>
        <rFont val="Calibri"/>
        <family val="2"/>
        <scheme val="minor"/>
      </rPr>
      <t>/yr)</t>
    </r>
  </si>
  <si>
    <t>kg/yr</t>
  </si>
  <si>
    <t>[ft3/yr] Annual natural gas emissions for sub-basin at standard conditions</t>
  </si>
  <si>
    <t>Emiss_NG2</t>
  </si>
  <si>
    <t>Emiss_NG1</t>
  </si>
  <si>
    <t>psi</t>
  </si>
  <si>
    <t>NG_in</t>
  </si>
  <si>
    <t>Shut-in pressure or surface pressure for wells with tubing production, or casing pressure for each well with no packers (psia)</t>
  </si>
  <si>
    <t>[kg] Natural gas product</t>
  </si>
  <si>
    <t>U.S. Energy Information Administration</t>
  </si>
  <si>
    <t>2012</t>
  </si>
  <si>
    <t>EIA</t>
  </si>
  <si>
    <t>Oil and Gas Supply Module, Assumptions to the Annual Energy Outlook 2012</t>
  </si>
  <si>
    <t xml:space="preserve">U.S. Energy Information Administration (2012). Oil and Gas Supply Module, Assumptions to the annual Energy Outlook 2012. EIA. </t>
  </si>
  <si>
    <t>[Reference 1]</t>
  </si>
  <si>
    <t>[Reference 2]</t>
  </si>
  <si>
    <t>Greenhouse Gas Reporting Rule: Revisions and Confidentiality Determinations for Petroleum and Natural Gas Systems; Proposed Rule</t>
  </si>
  <si>
    <t>U.S. Environmental Protection Agency</t>
  </si>
  <si>
    <t>2014</t>
  </si>
  <si>
    <t>EPA</t>
  </si>
  <si>
    <t>U.S. Environmental Protection Agency (2014). Greenhouse Gas Reporting Rule: Revisions and Confidentiality Determinations for Petroleum and Natural Gas Systems; Proposed Rule. EPA</t>
  </si>
  <si>
    <t>79</t>
  </si>
  <si>
    <t>46</t>
  </si>
  <si>
    <t>March 10, 2014</t>
  </si>
  <si>
    <t>Characterizing Pivotal Sources of Methane Emissions from Natural Gas Production</t>
  </si>
  <si>
    <t>API</t>
  </si>
  <si>
    <t>ANGA</t>
  </si>
  <si>
    <t>September 21, 2012</t>
  </si>
  <si>
    <t xml:space="preserve">API and ANGA (2012). Characterizing Pivotal Sources of Methane Emissions from Natural Gas Production. </t>
  </si>
  <si>
    <t>2,3</t>
  </si>
  <si>
    <t>[Reference 2,3]</t>
  </si>
  <si>
    <t>Flow_Rate_NG*Conv_Coeff*24*365</t>
  </si>
  <si>
    <t>[kg/y] Average flow-line rate of natural gas for well. 24 hours per day and 365 days per year.</t>
  </si>
  <si>
    <t>Emiss_NG2/Product_rate</t>
  </si>
  <si>
    <t>1+(Emiss_NG1*Conv_Coeff/Product_rate)</t>
  </si>
  <si>
    <t>2,2,2,2,1</t>
  </si>
  <si>
    <t>2,2,2,2,0</t>
  </si>
  <si>
    <t>2,2,2,2,4</t>
  </si>
  <si>
    <t>Emiss_NG1*Conv_Coeff</t>
  </si>
  <si>
    <t>[kg/kg] Natural gas vented during liquid unloading episode, apportioned to 1 kg of NG product</t>
  </si>
  <si>
    <t>[kg/yr] Annual natural gas emissions for sub-basin at standard conditions</t>
  </si>
  <si>
    <t>Intermediate flow</t>
  </si>
  <si>
    <t>Northeast, Mid-Continent, Southwest, Gulf Coast, and Rocky Mountains</t>
  </si>
  <si>
    <t>1=Plunger; 0=Without Plunger. Calculation for total emissions for well venting for liquid unloading differs for wells with and without plunger lift system</t>
  </si>
  <si>
    <t>Regions_Map</t>
  </si>
  <si>
    <t>Parameter_Definitions</t>
  </si>
  <si>
    <t>Oil and Gas Supply Model Regions (OGSM) utilized in survey report by API and ANGA; reference for parameter scenario regions</t>
  </si>
  <si>
    <t>Calculations of vented natural gas emissions during liquid unloading event</t>
  </si>
  <si>
    <t>Definition of each parameter utilized in calculating vented natural gas emissions for wells with and without plunger lift systems during liquid unloading</t>
  </si>
  <si>
    <r>
      <t xml:space="preserve">This document should be cited as: NETL (2011). </t>
    </r>
    <r>
      <rPr>
        <i/>
        <sz val="10"/>
        <rFont val="Arial"/>
        <family val="2"/>
      </rPr>
      <t xml:space="preserve">NETL Life Cycle Inventory Data – Natural Gas Well, Venting From Liquid Unloading. </t>
    </r>
    <r>
      <rPr>
        <sz val="10"/>
        <rFont val="Arial"/>
        <family val="2"/>
      </rPr>
      <t xml:space="preserve">U.S. Department of Energy, National Energy Technology Laboratory. Last Updated: August 2014 (version 02). www.netl.doe.gov/energy-analyses </t>
    </r>
  </si>
  <si>
    <t>This unit process is composed of this document and the file, DF_Stage1_O_NGWell_LiqUnloading_2011.02.doc, which provides additional details regarding calculations, data quality, and references as relevant.</t>
  </si>
  <si>
    <t>[Reference 3]</t>
  </si>
  <si>
    <t>[in] Casing or tubing internal diameter for non-plunger wells and plunger wells, respectively</t>
  </si>
  <si>
    <t>Unconventional, Mid-Continent, NO Plunger, Expected</t>
  </si>
  <si>
    <t>Unconventional, Mid-Continent, NO Plunger, Min</t>
  </si>
  <si>
    <t>Unconventional, Mid-Continent, NO Plunger, Max</t>
  </si>
  <si>
    <t>Zp</t>
  </si>
  <si>
    <t>With Plunger Lift Assist: If HR is less than 0.5 then Z is equal to 0. If HR is greater than or equal to 0.5 then Z is equal to 1.</t>
  </si>
  <si>
    <t>Without Plunger Lift Assist: If HR is less than 1 then Z is equal to 0. If HR is greater than or equal to 1 then Z is equal to 1.</t>
  </si>
  <si>
    <t>Z_Coeff_p</t>
  </si>
  <si>
    <t>IF(Hour_Vent&lt;1,0,1)</t>
  </si>
  <si>
    <r>
      <t>E=(V*0.37E-3*TD</t>
    </r>
    <r>
      <rPr>
        <vertAlign val="superscript"/>
        <sz val="11"/>
        <color indexed="8"/>
        <rFont val="Calibri"/>
        <family val="2"/>
      </rPr>
      <t>2</t>
    </r>
    <r>
      <rPr>
        <sz val="11"/>
        <color theme="1"/>
        <rFont val="Calibri"/>
        <family val="2"/>
        <scheme val="minor"/>
      </rPr>
      <t>*WD*SP)+(SFR*(HR-0.5)*Zp*V)</t>
    </r>
  </si>
  <si>
    <r>
      <t>E=(V*0.37E-3*CD</t>
    </r>
    <r>
      <rPr>
        <vertAlign val="superscript"/>
        <sz val="11"/>
        <color indexed="8"/>
        <rFont val="Calibri"/>
        <family val="2"/>
      </rPr>
      <t>2</t>
    </r>
    <r>
      <rPr>
        <sz val="11"/>
        <color theme="1"/>
        <rFont val="Calibri"/>
        <family val="2"/>
        <scheme val="minor"/>
      </rPr>
      <t>*WD*SP)+(SFR*(HR-1)*Z*V)</t>
    </r>
  </si>
  <si>
    <t>Calculation for wells without plunger lifts [Reference 2]</t>
  </si>
  <si>
    <t>Calculation for wells with plunger lifts [Reference 2]</t>
  </si>
  <si>
    <t>IF(Plunger_Switch=1, ((Vent_episode*0.00037*(Internal_diam^2)*Well_Depth*Pressure)+(Flow_Rate_NG*(Hour_Vent-0.5)*Z_Coeff_p)*Vent_episode), ((Vent_episode*0.00037*(Internal_diam^2)*Well_Depth*Pressure)+(Flow_Rate_NG*(Hour_Vent-1)*Z_Coeff)*Vent_episode))</t>
  </si>
  <si>
    <t>[binary] 1=Plunger; 0=Without Plunger. Calculation for total emissions for well venting for liquid unloading differs for wells with and without plunger lift system</t>
  </si>
  <si>
    <t>V*</t>
  </si>
  <si>
    <t>vents/yr</t>
  </si>
  <si>
    <r>
      <t>ft</t>
    </r>
    <r>
      <rPr>
        <vertAlign val="superscript"/>
        <sz val="11"/>
        <color indexed="8"/>
        <rFont val="Calibri"/>
        <family val="2"/>
      </rPr>
      <t>3</t>
    </r>
    <r>
      <rPr>
        <sz val="11"/>
        <color theme="1"/>
        <rFont val="Calibri"/>
        <family val="2"/>
        <scheme val="minor"/>
      </rPr>
      <t>/well-yr</t>
    </r>
  </si>
  <si>
    <t>Total production</t>
  </si>
  <si>
    <t>Vented Gas</t>
  </si>
  <si>
    <t>Natural Gas output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</si>
</sst>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67" formatCode="mmm\-yyyy"/>
    <numFmt numFmtId="168" formatCode="mmm\ dd\,\ yyyy"/>
    <numFmt numFmtId="169" formatCode="yyyy"/>
    <numFmt numFmtId="170" formatCode="m/d/yy\ h:mm"/>
    <numFmt numFmtId="171" formatCode="0.0000"/>
    <numFmt numFmtId="179" formatCode="0.000"/>
  </numFmts>
  <fonts count="57" x14ac:knownFonts="1">
    <font>
      <sz val="11"/>
      <color theme="1"/>
      <name val="Calibri"/>
      <family val="2"/>
      <scheme val="minor"/>
    </font>
    <font>
      <sz val="10"/>
      <name val="Arial"/>
      <family val="2"/>
    </font>
    <font>
      <sz val="10"/>
      <name val="Arial"/>
      <family val="2"/>
    </font>
    <font>
      <b/>
      <sz val="10"/>
      <name val="Arial"/>
      <family val="2"/>
    </font>
    <font>
      <b/>
      <sz val="10"/>
      <color indexed="12"/>
      <name val="Arial"/>
      <family val="2"/>
    </font>
    <font>
      <sz val="10"/>
      <color indexed="10"/>
      <name val="Arial"/>
      <family val="2"/>
    </font>
    <font>
      <sz val="9"/>
      <name val="Arial"/>
      <family val="2"/>
    </font>
    <font>
      <u/>
      <sz val="10"/>
      <color indexed="12"/>
      <name val="Arial"/>
      <family val="2"/>
    </font>
    <font>
      <sz val="9"/>
      <name val="Helv"/>
      <family val="2"/>
    </font>
    <font>
      <b/>
      <i/>
      <sz val="10"/>
      <color indexed="12"/>
      <name val="Arial"/>
      <family val="2"/>
    </font>
    <font>
      <sz val="10"/>
      <color indexed="8"/>
      <name val="Arial"/>
      <family val="2"/>
    </font>
    <font>
      <i/>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b/>
      <sz val="18"/>
      <color indexed="56"/>
      <name val="Cambria"/>
      <family val="2"/>
    </font>
    <font>
      <b/>
      <sz val="11"/>
      <color indexed="8"/>
      <name val="Calibri"/>
      <family val="2"/>
    </font>
    <font>
      <sz val="11"/>
      <color indexed="10"/>
      <name val="Calibri"/>
      <family val="2"/>
    </font>
    <font>
      <b/>
      <sz val="16"/>
      <color indexed="18"/>
      <name val="Arial"/>
      <family val="2"/>
    </font>
    <font>
      <sz val="10"/>
      <color indexed="12"/>
      <name val="Arial"/>
      <family val="2"/>
    </font>
    <font>
      <b/>
      <u/>
      <sz val="14"/>
      <name val="Arial"/>
      <family val="2"/>
    </font>
    <font>
      <b/>
      <i/>
      <u/>
      <sz val="10"/>
      <name val="Arial"/>
      <family val="2"/>
    </font>
    <font>
      <b/>
      <i/>
      <sz val="10"/>
      <name val="Arial"/>
      <family val="2"/>
    </font>
    <font>
      <i/>
      <sz val="9"/>
      <name val="Arial"/>
      <family val="2"/>
    </font>
    <font>
      <b/>
      <sz val="12"/>
      <name val="Times New Roman"/>
      <family val="1"/>
    </font>
    <font>
      <sz val="12"/>
      <name val="Times New Roman"/>
      <family val="1"/>
    </font>
    <font>
      <sz val="9"/>
      <color indexed="81"/>
      <name val="Tahoma"/>
      <family val="2"/>
    </font>
    <font>
      <b/>
      <sz val="9"/>
      <color indexed="81"/>
      <name val="Tahoma"/>
      <family val="2"/>
    </font>
    <font>
      <b/>
      <sz val="9"/>
      <name val="Arial"/>
      <family val="2"/>
    </font>
    <font>
      <vertAlign val="superscript"/>
      <sz val="11"/>
      <color indexed="8"/>
      <name val="Calibri"/>
      <family val="2"/>
    </font>
    <font>
      <vertAlign val="superscript"/>
      <sz val="11"/>
      <color indexed="8"/>
      <name val="Calibri"/>
      <family val="2"/>
    </font>
    <font>
      <sz val="10"/>
      <color indexed="8"/>
      <name val="Arial"/>
      <family val="2"/>
    </font>
    <font>
      <vertAlign val="superscript"/>
      <sz val="10"/>
      <color indexed="8"/>
      <name val="Arial"/>
      <family val="2"/>
    </font>
    <font>
      <vertAlign val="superscript"/>
      <sz val="11"/>
      <color indexed="8"/>
      <name val="Calibri"/>
      <family val="2"/>
    </font>
    <font>
      <sz val="11"/>
      <color theme="1"/>
      <name val="Calibri"/>
      <family val="2"/>
      <scheme val="minor"/>
    </font>
    <font>
      <b/>
      <sz val="11"/>
      <color theme="3"/>
      <name val="Calibri"/>
      <family val="2"/>
      <scheme val="minor"/>
    </font>
    <font>
      <b/>
      <sz val="11"/>
      <color theme="1"/>
      <name val="Calibri"/>
      <family val="2"/>
      <scheme val="minor"/>
    </font>
    <font>
      <b/>
      <sz val="16"/>
      <color theme="3"/>
      <name val="Arial"/>
      <family val="2"/>
    </font>
    <font>
      <sz val="10"/>
      <color theme="1"/>
      <name val="Arial"/>
      <family val="2"/>
    </font>
    <font>
      <b/>
      <sz val="14"/>
      <color theme="1"/>
      <name val="Calibri"/>
      <family val="2"/>
      <scheme val="minor"/>
    </font>
    <font>
      <b/>
      <sz val="12"/>
      <color theme="1"/>
      <name val="Calibri"/>
      <family val="2"/>
      <scheme val="minor"/>
    </font>
    <font>
      <b/>
      <i/>
      <sz val="11"/>
      <color theme="1"/>
      <name val="Calibri"/>
      <family val="2"/>
      <scheme val="minor"/>
    </font>
    <font>
      <b/>
      <i/>
      <sz val="14"/>
      <color theme="1"/>
      <name val="Calibri"/>
      <family val="2"/>
      <scheme val="minor"/>
    </font>
    <font>
      <b/>
      <i/>
      <sz val="10"/>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4"/>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99C2FF"/>
        <bgColor indexed="64"/>
      </patternFill>
    </fill>
    <fill>
      <patternFill patternType="solid">
        <fgColor theme="5" tint="0.39997558519241921"/>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s>
  <cellStyleXfs count="70">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47"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alignment wrapText="1"/>
    </xf>
    <xf numFmtId="166" fontId="6" fillId="0" borderId="0" applyFont="0" applyFill="0" applyBorder="0" applyAlignment="0" applyProtection="0">
      <alignment vertical="center"/>
    </xf>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7" fillId="0" borderId="0" applyNumberFormat="0" applyFill="0" applyBorder="0" applyAlignment="0" applyProtection="0">
      <alignment vertical="top"/>
      <protection locked="0"/>
    </xf>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 fillId="0" borderId="0"/>
    <xf numFmtId="0" fontId="1" fillId="0" borderId="0"/>
    <xf numFmtId="0" fontId="2" fillId="23" borderId="7" applyNumberFormat="0" applyFont="0" applyAlignment="0" applyProtection="0"/>
    <xf numFmtId="0" fontId="26" fillId="20" borderId="8" applyNumberFormat="0" applyAlignment="0" applyProtection="0"/>
    <xf numFmtId="9" fontId="2" fillId="0" borderId="0" applyFont="0" applyFill="0" applyBorder="0" applyAlignment="0" applyProtection="0"/>
    <xf numFmtId="9" fontId="1" fillId="0" borderId="0" applyFont="0" applyFill="0" applyBorder="0" applyAlignment="0" applyProtection="0"/>
    <xf numFmtId="0" fontId="2" fillId="0" borderId="0"/>
    <xf numFmtId="0" fontId="3" fillId="24" borderId="9" applyNumberFormat="0" applyProtection="0">
      <alignment horizontal="center" wrapText="1"/>
    </xf>
    <xf numFmtId="0" fontId="3" fillId="24" borderId="10" applyNumberFormat="0" applyAlignment="0" applyProtection="0">
      <alignment wrapText="1"/>
    </xf>
    <xf numFmtId="0" fontId="2" fillId="25" borderId="0" applyNumberFormat="0" applyBorder="0">
      <alignment horizontal="center" wrapText="1"/>
    </xf>
    <xf numFmtId="0" fontId="2" fillId="26" borderId="11" applyNumberFormat="0">
      <alignment wrapText="1"/>
    </xf>
    <xf numFmtId="0" fontId="2" fillId="26" borderId="0" applyNumberFormat="0" applyBorder="0">
      <alignmen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7" fontId="2" fillId="0" borderId="0" applyFill="0" applyBorder="0" applyAlignment="0" applyProtection="0">
      <alignment wrapText="1"/>
    </xf>
    <xf numFmtId="169"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0" fontId="27" fillId="0" borderId="0" applyNumberFormat="0" applyFill="0" applyBorder="0">
      <alignment horizontal="left" wrapText="1"/>
    </xf>
    <xf numFmtId="0" fontId="3" fillId="0" borderId="0" applyNumberFormat="0" applyFill="0" applyBorder="0">
      <alignment horizontal="center" wrapText="1"/>
    </xf>
    <xf numFmtId="0" fontId="3" fillId="0" borderId="0" applyNumberFormat="0" applyFill="0" applyBorder="0">
      <alignment horizontal="center" wrapText="1"/>
    </xf>
    <xf numFmtId="164" fontId="8" fillId="0" borderId="0">
      <alignment horizontal="center" vertical="center"/>
    </xf>
    <xf numFmtId="0" fontId="28" fillId="0" borderId="0" applyNumberFormat="0" applyFill="0" applyBorder="0" applyAlignment="0" applyProtection="0"/>
    <xf numFmtId="0" fontId="29" fillId="0" borderId="12" applyNumberFormat="0" applyFill="0" applyAlignment="0" applyProtection="0"/>
    <xf numFmtId="0" fontId="30" fillId="0" borderId="0" applyNumberFormat="0" applyFill="0" applyBorder="0" applyAlignment="0" applyProtection="0"/>
    <xf numFmtId="165" fontId="2" fillId="0" borderId="0">
      <alignment horizontal="center" vertical="center"/>
    </xf>
  </cellStyleXfs>
  <cellXfs count="406">
    <xf numFmtId="0" fontId="0" fillId="0" borderId="0" xfId="0"/>
    <xf numFmtId="0" fontId="1" fillId="0" borderId="0" xfId="42"/>
    <xf numFmtId="0" fontId="3" fillId="27" borderId="0" xfId="42" applyFont="1" applyFill="1" applyAlignment="1">
      <alignment vertical="top" wrapText="1"/>
    </xf>
    <xf numFmtId="0" fontId="1" fillId="27" borderId="0" xfId="42" applyFill="1" applyAlignment="1">
      <alignment vertical="top" wrapText="1"/>
    </xf>
    <xf numFmtId="0" fontId="1" fillId="0" borderId="0" xfId="42" applyAlignment="1">
      <alignment vertical="top" wrapText="1"/>
    </xf>
    <xf numFmtId="0" fontId="3" fillId="0" borderId="0" xfId="42" applyFont="1" applyAlignment="1">
      <alignment vertical="top" wrapText="1"/>
    </xf>
    <xf numFmtId="0" fontId="1" fillId="28" borderId="0" xfId="42" applyFill="1" applyAlignment="1">
      <alignment vertical="top" wrapText="1"/>
    </xf>
    <xf numFmtId="0" fontId="1" fillId="0" borderId="0" xfId="42" applyFill="1" applyAlignment="1" applyProtection="1">
      <alignment vertical="top" wrapText="1"/>
      <protection locked="0"/>
    </xf>
    <xf numFmtId="0" fontId="1" fillId="0" borderId="0" xfId="42" applyFill="1" applyProtection="1">
      <protection locked="0"/>
    </xf>
    <xf numFmtId="49" fontId="1" fillId="0" borderId="0" xfId="42" applyNumberFormat="1" applyFill="1" applyAlignment="1" applyProtection="1">
      <alignment vertical="top" wrapText="1"/>
      <protection locked="0"/>
    </xf>
    <xf numFmtId="49" fontId="1" fillId="0" borderId="0" xfId="42" applyNumberFormat="1" applyFill="1" applyProtection="1">
      <protection locked="0"/>
    </xf>
    <xf numFmtId="0" fontId="3" fillId="29" borderId="0" xfId="42" applyFont="1" applyFill="1" applyAlignment="1" applyProtection="1">
      <alignment vertical="top" wrapText="1"/>
      <protection hidden="1"/>
    </xf>
    <xf numFmtId="0" fontId="1" fillId="0" borderId="0" xfId="42" applyFill="1"/>
    <xf numFmtId="0" fontId="12" fillId="0" borderId="0" xfId="42" applyFont="1"/>
    <xf numFmtId="0" fontId="3" fillId="29" borderId="0" xfId="42" applyFont="1" applyFill="1" applyAlignment="1" applyProtection="1">
      <alignment horizontal="center" vertical="top" wrapText="1"/>
      <protection hidden="1"/>
    </xf>
    <xf numFmtId="0" fontId="50" fillId="0" borderId="0" xfId="42" applyFont="1" applyFill="1" applyAlignment="1">
      <alignment horizontal="center"/>
    </xf>
    <xf numFmtId="0" fontId="1" fillId="0" borderId="0" xfId="42" applyFont="1" applyFill="1" applyAlignment="1">
      <alignment vertical="top" wrapText="1"/>
    </xf>
    <xf numFmtId="0" fontId="1" fillId="0" borderId="0" xfId="42" applyFont="1" applyFill="1" applyAlignment="1" applyProtection="1">
      <alignment vertical="top" wrapText="1"/>
      <protection locked="0"/>
    </xf>
    <xf numFmtId="0" fontId="1" fillId="34" borderId="0" xfId="42" applyFill="1" applyAlignment="1" applyProtection="1">
      <alignment vertical="top" wrapText="1"/>
      <protection locked="0"/>
    </xf>
    <xf numFmtId="0" fontId="1" fillId="34" borderId="0" xfId="42" applyFill="1" applyProtection="1">
      <protection locked="0"/>
    </xf>
    <xf numFmtId="0" fontId="11" fillId="34" borderId="0" xfId="42" applyFont="1" applyFill="1" applyProtection="1">
      <protection locked="0"/>
    </xf>
    <xf numFmtId="49" fontId="1" fillId="34" borderId="0" xfId="42" applyNumberFormat="1" applyFill="1" applyAlignment="1" applyProtection="1">
      <alignment vertical="top" wrapText="1"/>
      <protection locked="0"/>
    </xf>
    <xf numFmtId="49" fontId="1" fillId="34" borderId="0" xfId="42" applyNumberFormat="1" applyFill="1" applyProtection="1">
      <protection locked="0"/>
    </xf>
    <xf numFmtId="0" fontId="11" fillId="34" borderId="0" xfId="42" applyFont="1" applyFill="1" applyAlignment="1" applyProtection="1">
      <alignment vertical="top" wrapText="1"/>
      <protection locked="0"/>
    </xf>
    <xf numFmtId="0" fontId="9" fillId="27" borderId="0" xfId="42" applyFont="1" applyFill="1" applyAlignment="1">
      <alignment horizontal="left" vertical="top" wrapText="1"/>
    </xf>
    <xf numFmtId="0" fontId="1" fillId="27" borderId="0" xfId="42" applyFill="1" applyAlignment="1">
      <alignment horizontal="left" vertical="top" wrapText="1"/>
    </xf>
    <xf numFmtId="0" fontId="3" fillId="29" borderId="0" xfId="42" applyFont="1" applyFill="1" applyAlignment="1" applyProtection="1">
      <alignment horizontal="left" vertical="top" wrapText="1"/>
      <protection hidden="1"/>
    </xf>
    <xf numFmtId="0" fontId="1" fillId="0" borderId="0" xfId="42" applyFill="1" applyAlignment="1" applyProtection="1">
      <alignment horizontal="left" vertical="top" wrapText="1"/>
      <protection locked="0"/>
    </xf>
    <xf numFmtId="0" fontId="10" fillId="0" borderId="0" xfId="42" applyFont="1" applyFill="1" applyAlignment="1" applyProtection="1">
      <alignment horizontal="left" vertical="top" wrapText="1"/>
      <protection locked="0"/>
    </xf>
    <xf numFmtId="0" fontId="1" fillId="34" borderId="0" xfId="42" applyFill="1" applyAlignment="1" applyProtection="1">
      <alignment horizontal="left" vertical="top" wrapText="1"/>
      <protection locked="0"/>
    </xf>
    <xf numFmtId="49" fontId="1" fillId="0" borderId="0" xfId="42" applyNumberFormat="1" applyFill="1" applyAlignment="1" applyProtection="1">
      <alignment horizontal="left" vertical="top" wrapText="1"/>
      <protection locked="0"/>
    </xf>
    <xf numFmtId="49" fontId="1" fillId="34" borderId="0" xfId="42" applyNumberFormat="1" applyFill="1" applyAlignment="1" applyProtection="1">
      <alignment horizontal="left" vertical="top" wrapText="1"/>
      <protection locked="0"/>
    </xf>
    <xf numFmtId="0" fontId="10" fillId="34" borderId="0" xfId="42" applyFont="1" applyFill="1" applyAlignment="1" applyProtection="1">
      <alignment horizontal="left"/>
      <protection locked="0"/>
    </xf>
    <xf numFmtId="0" fontId="11" fillId="34" borderId="0" xfId="42" applyFont="1" applyFill="1" applyAlignment="1" applyProtection="1">
      <alignment horizontal="left" vertical="top" wrapText="1"/>
      <protection locked="0"/>
    </xf>
    <xf numFmtId="0" fontId="1" fillId="28" borderId="0" xfId="42" applyFill="1" applyAlignment="1">
      <alignment horizontal="left" vertical="top" wrapText="1"/>
    </xf>
    <xf numFmtId="0" fontId="1" fillId="0" borderId="0" xfId="42" applyAlignment="1">
      <alignment horizontal="left" vertical="top" wrapText="1"/>
    </xf>
    <xf numFmtId="0" fontId="3" fillId="0" borderId="0" xfId="42" applyFont="1" applyAlignment="1">
      <alignment horizontal="left" vertical="top" wrapText="1"/>
    </xf>
    <xf numFmtId="0" fontId="5" fillId="0" borderId="0" xfId="42" applyFont="1" applyAlignment="1">
      <alignment horizontal="left"/>
    </xf>
    <xf numFmtId="0" fontId="1" fillId="0" borderId="0" xfId="42" applyAlignment="1">
      <alignment horizontal="left"/>
    </xf>
    <xf numFmtId="0" fontId="4" fillId="0" borderId="0" xfId="42" applyFont="1" applyFill="1" applyAlignment="1">
      <alignment wrapText="1"/>
    </xf>
    <xf numFmtId="0" fontId="0" fillId="0" borderId="0" xfId="0"/>
    <xf numFmtId="0" fontId="31" fillId="30" borderId="0" xfId="42" applyFont="1" applyFill="1" applyAlignment="1"/>
    <xf numFmtId="0" fontId="1" fillId="30" borderId="0" xfId="42" applyFill="1"/>
    <xf numFmtId="0" fontId="3" fillId="27" borderId="13" xfId="42" applyFont="1" applyFill="1" applyBorder="1" applyAlignment="1">
      <alignment horizontal="left" vertical="center"/>
    </xf>
    <xf numFmtId="0" fontId="3" fillId="27" borderId="13" xfId="42" applyFont="1" applyFill="1" applyBorder="1" applyAlignment="1">
      <alignment horizontal="left" vertical="center" wrapText="1"/>
    </xf>
    <xf numFmtId="0" fontId="3" fillId="30" borderId="0" xfId="42" applyFont="1" applyFill="1"/>
    <xf numFmtId="0" fontId="1" fillId="30" borderId="0" xfId="42" applyFont="1" applyFill="1"/>
    <xf numFmtId="0" fontId="1" fillId="35" borderId="0" xfId="42" applyFont="1" applyFill="1"/>
    <xf numFmtId="0" fontId="1" fillId="35" borderId="0" xfId="42" applyFill="1"/>
    <xf numFmtId="0" fontId="1" fillId="0" borderId="14" xfId="42" applyBorder="1" applyAlignment="1" applyProtection="1">
      <protection locked="0"/>
    </xf>
    <xf numFmtId="0" fontId="1" fillId="30" borderId="0" xfId="42" applyFill="1" applyAlignment="1">
      <alignment horizontal="center"/>
    </xf>
    <xf numFmtId="0" fontId="1" fillId="30" borderId="0" xfId="42" applyFill="1" applyAlignment="1">
      <alignment horizontal="right"/>
    </xf>
    <xf numFmtId="0" fontId="11" fillId="30" borderId="0" xfId="42" applyFont="1" applyFill="1" applyAlignment="1">
      <alignment horizontal="center"/>
    </xf>
    <xf numFmtId="0" fontId="3" fillId="27" borderId="15" xfId="42" applyFont="1" applyFill="1" applyBorder="1" applyAlignment="1">
      <alignment horizontal="center"/>
    </xf>
    <xf numFmtId="0" fontId="1" fillId="31" borderId="15" xfId="42" applyFill="1" applyBorder="1" applyAlignment="1">
      <alignment horizontal="left"/>
    </xf>
    <xf numFmtId="0" fontId="1" fillId="31" borderId="16" xfId="42" applyFill="1" applyBorder="1" applyAlignment="1"/>
    <xf numFmtId="0" fontId="1" fillId="31" borderId="14" xfId="42" applyFill="1" applyBorder="1" applyAlignment="1"/>
    <xf numFmtId="0" fontId="1" fillId="0" borderId="15" xfId="42" applyBorder="1" applyAlignment="1" applyProtection="1">
      <alignment horizontal="center" vertical="top"/>
      <protection locked="0"/>
    </xf>
    <xf numFmtId="0" fontId="3" fillId="31" borderId="15" xfId="42" applyFont="1" applyFill="1" applyBorder="1" applyAlignment="1">
      <alignment vertical="top"/>
    </xf>
    <xf numFmtId="0" fontId="1" fillId="31" borderId="15" xfId="42" applyFill="1" applyBorder="1" applyAlignment="1">
      <alignment vertical="top"/>
    </xf>
    <xf numFmtId="0" fontId="1" fillId="31" borderId="15" xfId="42" applyFill="1" applyBorder="1" applyAlignment="1">
      <alignment horizontal="center" vertical="top"/>
    </xf>
    <xf numFmtId="0" fontId="1" fillId="31" borderId="15" xfId="42" applyFont="1" applyFill="1" applyBorder="1" applyAlignment="1">
      <alignment vertical="top"/>
    </xf>
    <xf numFmtId="0" fontId="1" fillId="31" borderId="15" xfId="42" applyFill="1" applyBorder="1" applyAlignment="1" applyProtection="1">
      <alignment vertical="top"/>
      <protection hidden="1"/>
    </xf>
    <xf numFmtId="0" fontId="1" fillId="0" borderId="0" xfId="42" applyFont="1" applyFill="1" applyAlignment="1" applyProtection="1">
      <alignment horizontal="left" vertical="top" wrapText="1"/>
      <protection locked="0"/>
    </xf>
    <xf numFmtId="0" fontId="1" fillId="34" borderId="0" xfId="42" applyFont="1" applyFill="1" applyAlignment="1" applyProtection="1">
      <alignment horizontal="left" vertical="top" wrapText="1"/>
      <protection locked="0"/>
    </xf>
    <xf numFmtId="0" fontId="1" fillId="34" borderId="0" xfId="42" applyFont="1" applyFill="1" applyAlignment="1" applyProtection="1">
      <alignment vertical="top" wrapText="1"/>
      <protection locked="0"/>
    </xf>
    <xf numFmtId="49" fontId="1" fillId="0" borderId="0" xfId="42" applyNumberFormat="1" applyFont="1" applyFill="1" applyAlignment="1" applyProtection="1">
      <alignment horizontal="left" vertical="top" wrapText="1"/>
      <protection locked="0"/>
    </xf>
    <xf numFmtId="0" fontId="1" fillId="34" borderId="0" xfId="38" applyFont="1" applyFill="1" applyAlignment="1" applyProtection="1">
      <alignment horizontal="left" vertical="top" wrapText="1"/>
      <protection locked="0"/>
    </xf>
    <xf numFmtId="0" fontId="1" fillId="0" borderId="0" xfId="42" applyFont="1"/>
    <xf numFmtId="49" fontId="1" fillId="34" borderId="0" xfId="42" applyNumberFormat="1" applyFont="1" applyFill="1" applyAlignment="1" applyProtection="1">
      <alignment horizontal="left" vertical="top" wrapText="1"/>
      <protection locked="0"/>
    </xf>
    <xf numFmtId="0" fontId="1" fillId="34" borderId="0" xfId="42" applyFont="1" applyFill="1" applyProtection="1">
      <protection locked="0"/>
    </xf>
    <xf numFmtId="0" fontId="33" fillId="0" borderId="0" xfId="42" applyFont="1" applyFill="1"/>
    <xf numFmtId="0" fontId="1" fillId="0" borderId="0" xfId="42" applyFont="1" applyAlignment="1">
      <alignment horizontal="left" wrapText="1"/>
    </xf>
    <xf numFmtId="0" fontId="3" fillId="0" borderId="15" xfId="42" applyFont="1" applyBorder="1" applyAlignment="1">
      <alignment horizontal="left"/>
    </xf>
    <xf numFmtId="0" fontId="1" fillId="0" borderId="15" xfId="42" applyFont="1" applyBorder="1" applyAlignment="1">
      <alignment horizontal="left" wrapText="1"/>
    </xf>
    <xf numFmtId="0" fontId="1" fillId="0" borderId="15" xfId="42" applyFont="1" applyBorder="1" applyAlignment="1">
      <alignment horizontal="left"/>
    </xf>
    <xf numFmtId="0" fontId="1" fillId="36" borderId="15" xfId="42" applyFont="1" applyFill="1" applyBorder="1" applyAlignment="1">
      <alignment horizontal="left" wrapText="1"/>
    </xf>
    <xf numFmtId="0" fontId="1" fillId="0" borderId="15" xfId="42" applyBorder="1" applyAlignment="1">
      <alignment horizontal="left"/>
    </xf>
    <xf numFmtId="0" fontId="3" fillId="35" borderId="15" xfId="42" applyFont="1" applyFill="1" applyBorder="1" applyAlignment="1">
      <alignment horizontal="left" wrapText="1"/>
    </xf>
    <xf numFmtId="0" fontId="34" fillId="32" borderId="0" xfId="42" applyFont="1" applyFill="1"/>
    <xf numFmtId="0" fontId="1" fillId="32" borderId="0" xfId="42" applyFill="1"/>
    <xf numFmtId="0" fontId="3" fillId="33" borderId="17" xfId="42" applyFont="1" applyFill="1" applyBorder="1" applyAlignment="1">
      <alignment horizontal="center"/>
    </xf>
    <xf numFmtId="0" fontId="6" fillId="0" borderId="17" xfId="42" applyFont="1" applyBorder="1" applyAlignment="1">
      <alignment wrapText="1"/>
    </xf>
    <xf numFmtId="0" fontId="36" fillId="0" borderId="17" xfId="42" applyFont="1" applyBorder="1" applyAlignment="1">
      <alignment wrapText="1"/>
    </xf>
    <xf numFmtId="0" fontId="3" fillId="0" borderId="18" xfId="42" applyFont="1" applyBorder="1" applyAlignment="1">
      <alignment wrapText="1"/>
    </xf>
    <xf numFmtId="0" fontId="3" fillId="0" borderId="0" xfId="42" applyFont="1" applyFill="1" applyBorder="1" applyAlignment="1">
      <alignment wrapText="1"/>
    </xf>
    <xf numFmtId="0" fontId="6" fillId="0" borderId="0" xfId="42" applyFont="1" applyBorder="1" applyAlignment="1">
      <alignment wrapText="1"/>
    </xf>
    <xf numFmtId="0" fontId="1" fillId="0" borderId="15" xfId="42" applyFont="1" applyBorder="1" applyAlignment="1" applyProtection="1">
      <alignment vertical="top"/>
      <protection locked="0"/>
    </xf>
    <xf numFmtId="0" fontId="1" fillId="0" borderId="15" xfId="42" applyFont="1" applyFill="1" applyBorder="1" applyAlignment="1" applyProtection="1">
      <alignment vertical="top"/>
      <protection locked="0"/>
    </xf>
    <xf numFmtId="0" fontId="51" fillId="0" borderId="15" xfId="0" applyFont="1" applyBorder="1" applyAlignment="1" applyProtection="1">
      <alignment horizontal="center"/>
      <protection locked="0"/>
    </xf>
    <xf numFmtId="0" fontId="1" fillId="0" borderId="0" xfId="42" applyFont="1" applyFill="1"/>
    <xf numFmtId="0" fontId="1" fillId="0" borderId="0" xfId="42" applyFont="1" applyFill="1" applyAlignment="1">
      <alignment horizontal="right"/>
    </xf>
    <xf numFmtId="0" fontId="1" fillId="0" borderId="0" xfId="0" applyFont="1"/>
    <xf numFmtId="0" fontId="51" fillId="0" borderId="0" xfId="0" applyFont="1"/>
    <xf numFmtId="0" fontId="1" fillId="27" borderId="0" xfId="42" applyFont="1" applyFill="1" applyAlignment="1">
      <alignment horizontal="left" vertical="top" wrapText="1"/>
    </xf>
    <xf numFmtId="0" fontId="1" fillId="29" borderId="0" xfId="42" applyFont="1" applyFill="1" applyAlignment="1" applyProtection="1">
      <alignment vertical="top" wrapText="1"/>
      <protection hidden="1"/>
    </xf>
    <xf numFmtId="0" fontId="1" fillId="34" borderId="0" xfId="42" applyFont="1" applyFill="1" applyAlignment="1">
      <alignment vertical="top" wrapText="1"/>
    </xf>
    <xf numFmtId="0" fontId="51" fillId="0" borderId="15" xfId="0" applyFont="1" applyBorder="1" applyAlignment="1" applyProtection="1">
      <alignment vertical="top"/>
      <protection locked="0"/>
    </xf>
    <xf numFmtId="11" fontId="1" fillId="31" borderId="15" xfId="28" applyNumberFormat="1" applyFont="1" applyFill="1" applyBorder="1" applyAlignment="1" applyProtection="1">
      <alignment vertical="top"/>
      <protection hidden="1"/>
    </xf>
    <xf numFmtId="0" fontId="1" fillId="37" borderId="19" xfId="42" applyFont="1" applyFill="1" applyBorder="1" applyAlignment="1">
      <alignment horizontal="left" vertical="center"/>
    </xf>
    <xf numFmtId="0" fontId="1" fillId="37" borderId="20" xfId="42" applyFont="1" applyFill="1" applyBorder="1" applyAlignment="1">
      <alignment horizontal="left" vertical="center"/>
    </xf>
    <xf numFmtId="0" fontId="1" fillId="36" borderId="20" xfId="42" applyFont="1" applyFill="1" applyBorder="1" applyAlignment="1">
      <alignment horizontal="left" vertical="center"/>
    </xf>
    <xf numFmtId="0" fontId="34" fillId="0" borderId="0" xfId="0" applyFont="1" applyFill="1"/>
    <xf numFmtId="0" fontId="3" fillId="0" borderId="21" xfId="0" applyFont="1" applyBorder="1" applyAlignment="1">
      <alignment horizontal="left" vertical="center"/>
    </xf>
    <xf numFmtId="0" fontId="1" fillId="0" borderId="22" xfId="0" applyFont="1" applyBorder="1"/>
    <xf numFmtId="0" fontId="1" fillId="0" borderId="23" xfId="0" applyFont="1" applyBorder="1"/>
    <xf numFmtId="0" fontId="0" fillId="0" borderId="24" xfId="0" applyBorder="1"/>
    <xf numFmtId="0" fontId="3" fillId="0" borderId="0" xfId="0" applyFont="1" applyAlignment="1">
      <alignment wrapText="1"/>
    </xf>
    <xf numFmtId="0" fontId="3" fillId="0" borderId="15"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horizontal="left" vertical="center"/>
    </xf>
    <xf numFmtId="0" fontId="1" fillId="0" borderId="0" xfId="0" applyFont="1" applyBorder="1" applyAlignment="1">
      <alignment vertical="center"/>
    </xf>
    <xf numFmtId="0" fontId="1" fillId="0" borderId="25" xfId="0" applyFont="1" applyBorder="1" applyAlignment="1">
      <alignment vertical="center"/>
    </xf>
    <xf numFmtId="0" fontId="1" fillId="0" borderId="0" xfId="0" applyFont="1" applyAlignment="1">
      <alignment wrapText="1"/>
    </xf>
    <xf numFmtId="0" fontId="0" fillId="0" borderId="26" xfId="0" applyBorder="1"/>
    <xf numFmtId="0" fontId="37" fillId="0" borderId="0" xfId="0" applyFont="1"/>
    <xf numFmtId="0" fontId="34" fillId="0" borderId="0" xfId="0" applyFont="1" applyFill="1" applyBorder="1" applyAlignment="1">
      <alignment horizontal="left"/>
    </xf>
    <xf numFmtId="0" fontId="38" fillId="0" borderId="0" xfId="0" applyFont="1"/>
    <xf numFmtId="0" fontId="0" fillId="0" borderId="20" xfId="0" applyBorder="1"/>
    <xf numFmtId="0" fontId="0" fillId="0" borderId="27" xfId="0" applyBorder="1"/>
    <xf numFmtId="0" fontId="1" fillId="0" borderId="26" xfId="0" applyFont="1" applyBorder="1"/>
    <xf numFmtId="11" fontId="51" fillId="33" borderId="15" xfId="28" applyNumberFormat="1" applyFont="1" applyFill="1" applyBorder="1" applyAlignment="1" applyProtection="1">
      <alignment vertical="top"/>
      <protection hidden="1"/>
    </xf>
    <xf numFmtId="0" fontId="51" fillId="33" borderId="15" xfId="0" applyFont="1" applyFill="1" applyBorder="1" applyAlignment="1" applyProtection="1">
      <alignment vertical="top"/>
      <protection hidden="1"/>
    </xf>
    <xf numFmtId="2" fontId="51" fillId="33" borderId="15" xfId="0" applyNumberFormat="1" applyFont="1" applyFill="1" applyBorder="1" applyAlignment="1" applyProtection="1">
      <alignment vertical="top"/>
      <protection hidden="1"/>
    </xf>
    <xf numFmtId="49" fontId="1" fillId="0" borderId="0" xfId="42" applyNumberFormat="1" applyFont="1" applyFill="1" applyAlignment="1">
      <alignment horizontal="left" vertical="top" wrapText="1"/>
    </xf>
    <xf numFmtId="49" fontId="1" fillId="0" borderId="0" xfId="42" applyNumberFormat="1" applyFont="1" applyAlignment="1">
      <alignment horizontal="left" vertical="top" wrapText="1"/>
    </xf>
    <xf numFmtId="49" fontId="7" fillId="0" borderId="0" xfId="38" applyNumberFormat="1" applyFont="1" applyFill="1" applyAlignment="1" applyProtection="1">
      <alignment horizontal="left" vertical="top" wrapText="1"/>
      <protection locked="0"/>
    </xf>
    <xf numFmtId="49" fontId="1" fillId="0" borderId="0" xfId="38" applyNumberFormat="1" applyFont="1" applyFill="1" applyAlignment="1" applyProtection="1">
      <alignment horizontal="left" vertical="top" wrapText="1"/>
      <protection locked="0"/>
    </xf>
    <xf numFmtId="0" fontId="1" fillId="0" borderId="0" xfId="42" applyFont="1" applyFill="1" applyAlignment="1">
      <alignment horizontal="left" vertical="top"/>
    </xf>
    <xf numFmtId="0" fontId="1" fillId="0" borderId="0" xfId="42" applyFont="1" applyAlignment="1">
      <alignment horizontal="left" vertical="top"/>
    </xf>
    <xf numFmtId="0" fontId="7" fillId="0" borderId="0" xfId="38" applyFont="1" applyFill="1" applyAlignment="1" applyProtection="1">
      <alignment horizontal="left" vertical="top"/>
      <protection locked="0"/>
    </xf>
    <xf numFmtId="0" fontId="1" fillId="0" borderId="0" xfId="42" applyFont="1" applyFill="1" applyAlignment="1" applyProtection="1">
      <alignment horizontal="left" vertical="top"/>
      <protection locked="0"/>
    </xf>
    <xf numFmtId="0" fontId="1" fillId="0" borderId="0" xfId="38" applyFont="1" applyFill="1" applyAlignment="1" applyProtection="1">
      <alignment horizontal="left" vertical="top"/>
      <protection locked="0"/>
    </xf>
    <xf numFmtId="0" fontId="50" fillId="0" borderId="0" xfId="42" applyFont="1" applyFill="1" applyAlignment="1">
      <alignment horizontal="center"/>
    </xf>
    <xf numFmtId="0" fontId="0" fillId="0" borderId="0" xfId="0" applyFill="1"/>
    <xf numFmtId="0" fontId="51" fillId="0" borderId="0" xfId="0" applyFont="1" applyFill="1"/>
    <xf numFmtId="1" fontId="51" fillId="0" borderId="0" xfId="0" applyNumberFormat="1" applyFont="1" applyFill="1" applyBorder="1"/>
    <xf numFmtId="171" fontId="1" fillId="0" borderId="0" xfId="42" applyNumberFormat="1" applyFont="1"/>
    <xf numFmtId="0" fontId="1" fillId="0" borderId="13" xfId="42" applyFont="1" applyBorder="1" applyAlignment="1" applyProtection="1">
      <protection locked="0"/>
    </xf>
    <xf numFmtId="0" fontId="1" fillId="27" borderId="28" xfId="42" applyFont="1" applyFill="1" applyBorder="1" applyAlignment="1">
      <alignment horizontal="left" vertical="center"/>
    </xf>
    <xf numFmtId="0" fontId="1" fillId="27" borderId="29" xfId="42" applyFont="1" applyFill="1" applyBorder="1" applyAlignment="1">
      <alignment horizontal="left" vertical="center"/>
    </xf>
    <xf numFmtId="0" fontId="1" fillId="31" borderId="15" xfId="42" applyFill="1" applyBorder="1" applyAlignment="1">
      <alignment horizontal="center"/>
    </xf>
    <xf numFmtId="0" fontId="11" fillId="36" borderId="15" xfId="42" applyFont="1" applyFill="1" applyBorder="1" applyAlignment="1">
      <alignment horizontal="left" wrapText="1"/>
    </xf>
    <xf numFmtId="0" fontId="11" fillId="36" borderId="15" xfId="42" applyFont="1" applyFill="1" applyBorder="1" applyAlignment="1">
      <alignment horizontal="left"/>
    </xf>
    <xf numFmtId="0" fontId="1" fillId="36" borderId="15" xfId="42" applyFont="1" applyFill="1" applyBorder="1" applyAlignment="1">
      <alignment vertical="top"/>
    </xf>
    <xf numFmtId="0" fontId="1" fillId="36" borderId="15" xfId="42" applyFill="1" applyBorder="1" applyAlignment="1">
      <alignment vertical="top"/>
    </xf>
    <xf numFmtId="11" fontId="1" fillId="36" borderId="15" xfId="42" applyNumberFormat="1" applyFill="1" applyBorder="1" applyAlignment="1">
      <alignment horizontal="center" vertical="top"/>
    </xf>
    <xf numFmtId="11" fontId="51" fillId="36" borderId="15" xfId="28" applyNumberFormat="1" applyFont="1" applyFill="1" applyBorder="1" applyAlignment="1" applyProtection="1">
      <alignment vertical="top"/>
      <protection hidden="1"/>
    </xf>
    <xf numFmtId="0" fontId="51" fillId="36" borderId="15" xfId="0" applyFont="1" applyFill="1" applyBorder="1" applyAlignment="1" applyProtection="1">
      <alignment vertical="top"/>
      <protection hidden="1"/>
    </xf>
    <xf numFmtId="2" fontId="51" fillId="36" borderId="15" xfId="0" applyNumberFormat="1" applyFont="1" applyFill="1" applyBorder="1" applyAlignment="1" applyProtection="1">
      <alignment vertical="top"/>
      <protection hidden="1"/>
    </xf>
    <xf numFmtId="0" fontId="1" fillId="36" borderId="15" xfId="42" applyFill="1" applyBorder="1" applyAlignment="1">
      <alignment horizontal="center" vertical="top"/>
    </xf>
    <xf numFmtId="0" fontId="1" fillId="36" borderId="15" xfId="42" applyFont="1" applyFill="1" applyBorder="1" applyAlignment="1">
      <alignment horizontal="center"/>
    </xf>
    <xf numFmtId="0" fontId="3" fillId="27" borderId="30" xfId="42" applyFont="1" applyFill="1" applyBorder="1" applyAlignment="1">
      <alignment horizontal="left" vertical="center"/>
    </xf>
    <xf numFmtId="11" fontId="51" fillId="33" borderId="15" xfId="0" applyNumberFormat="1" applyFont="1" applyFill="1" applyBorder="1" applyAlignment="1" applyProtection="1">
      <alignment vertical="top"/>
      <protection hidden="1"/>
    </xf>
    <xf numFmtId="0" fontId="52" fillId="0" borderId="31" xfId="0" applyFont="1" applyBorder="1"/>
    <xf numFmtId="0" fontId="0" fillId="0" borderId="32" xfId="0" applyBorder="1"/>
    <xf numFmtId="0" fontId="53" fillId="0" borderId="31" xfId="0" applyFont="1" applyBorder="1" applyAlignment="1">
      <alignment horizontal="center"/>
    </xf>
    <xf numFmtId="0" fontId="0" fillId="0" borderId="33" xfId="0" applyBorder="1"/>
    <xf numFmtId="0" fontId="49" fillId="0" borderId="34" xfId="0" applyFont="1" applyBorder="1" applyAlignment="1">
      <alignment horizontal="center"/>
    </xf>
    <xf numFmtId="0" fontId="49" fillId="0" borderId="35" xfId="0" applyFont="1" applyBorder="1"/>
    <xf numFmtId="0" fontId="0" fillId="0" borderId="36" xfId="0" applyFont="1" applyBorder="1" applyAlignment="1">
      <alignment horizontal="center"/>
    </xf>
    <xf numFmtId="0" fontId="0" fillId="0" borderId="0" xfId="0" applyFont="1" applyBorder="1" applyAlignment="1"/>
    <xf numFmtId="0" fontId="0" fillId="0" borderId="0" xfId="0" applyFont="1" applyBorder="1" applyAlignment="1">
      <alignment vertical="center" wrapText="1"/>
    </xf>
    <xf numFmtId="0" fontId="0" fillId="0" borderId="36" xfId="0" applyBorder="1" applyAlignment="1">
      <alignment horizontal="center"/>
    </xf>
    <xf numFmtId="0" fontId="0" fillId="0" borderId="0" xfId="0" applyBorder="1"/>
    <xf numFmtId="0" fontId="0" fillId="0" borderId="0" xfId="0" applyFill="1" applyBorder="1"/>
    <xf numFmtId="0" fontId="0" fillId="0" borderId="37" xfId="0" applyBorder="1"/>
    <xf numFmtId="11" fontId="0" fillId="0" borderId="0" xfId="0" applyNumberFormat="1" applyBorder="1"/>
    <xf numFmtId="4" fontId="0" fillId="0" borderId="0" xfId="0" applyNumberFormat="1" applyBorder="1"/>
    <xf numFmtId="2" fontId="0" fillId="0" borderId="0" xfId="0" applyNumberFormat="1" applyBorder="1"/>
    <xf numFmtId="0" fontId="53" fillId="0" borderId="38" xfId="0" applyFont="1" applyBorder="1" applyAlignment="1">
      <alignment horizontal="center"/>
    </xf>
    <xf numFmtId="0" fontId="0" fillId="0" borderId="0" xfId="0" applyFont="1" applyBorder="1" applyAlignment="1">
      <alignment horizontal="right"/>
    </xf>
    <xf numFmtId="0" fontId="0" fillId="0" borderId="0" xfId="0" applyFont="1" applyBorder="1" applyAlignment="1">
      <alignment horizontal="right" vertical="center" wrapText="1"/>
    </xf>
    <xf numFmtId="0" fontId="0" fillId="0" borderId="39" xfId="0" applyBorder="1" applyAlignment="1">
      <alignment horizontal="center"/>
    </xf>
    <xf numFmtId="0" fontId="0" fillId="0" borderId="17" xfId="0" applyBorder="1"/>
    <xf numFmtId="0" fontId="52" fillId="0" borderId="36" xfId="0" applyFont="1" applyBorder="1"/>
    <xf numFmtId="0" fontId="53" fillId="0" borderId="30" xfId="0" applyFont="1" applyBorder="1" applyAlignment="1">
      <alignment horizontal="center"/>
    </xf>
    <xf numFmtId="0" fontId="0" fillId="0" borderId="28" xfId="0" applyBorder="1"/>
    <xf numFmtId="0" fontId="0" fillId="0" borderId="29" xfId="0" applyBorder="1"/>
    <xf numFmtId="0" fontId="49" fillId="0" borderId="40" xfId="0" applyFont="1" applyBorder="1" applyAlignment="1">
      <alignment horizontal="center"/>
    </xf>
    <xf numFmtId="0" fontId="0" fillId="0" borderId="0" xfId="0" applyBorder="1" applyAlignment="1">
      <alignment horizontal="right"/>
    </xf>
    <xf numFmtId="0" fontId="0" fillId="0" borderId="0" xfId="0" applyBorder="1" applyAlignment="1">
      <alignment horizontal="center"/>
    </xf>
    <xf numFmtId="0" fontId="0" fillId="0" borderId="0" xfId="0" applyFont="1" applyFill="1" applyBorder="1" applyAlignment="1">
      <alignment horizontal="right"/>
    </xf>
    <xf numFmtId="0" fontId="0" fillId="0" borderId="41" xfId="0" applyBorder="1"/>
    <xf numFmtId="0" fontId="0" fillId="0" borderId="0" xfId="0" applyBorder="1" applyAlignment="1"/>
    <xf numFmtId="0" fontId="0" fillId="0" borderId="39" xfId="0" applyFill="1" applyBorder="1" applyAlignment="1">
      <alignment horizontal="center"/>
    </xf>
    <xf numFmtId="0" fontId="50" fillId="0" borderId="0" xfId="42" applyFont="1" applyFill="1" applyAlignment="1">
      <alignment horizontal="center"/>
    </xf>
    <xf numFmtId="4" fontId="0" fillId="0" borderId="0" xfId="0" applyNumberFormat="1"/>
    <xf numFmtId="0" fontId="52" fillId="0" borderId="0" xfId="0" applyFont="1" applyBorder="1"/>
    <xf numFmtId="0" fontId="49" fillId="0" borderId="0" xfId="0" applyFont="1" applyBorder="1"/>
    <xf numFmtId="0" fontId="0" fillId="0" borderId="0" xfId="0" applyFont="1" applyBorder="1" applyAlignment="1">
      <alignment horizontal="center"/>
    </xf>
    <xf numFmtId="0" fontId="0" fillId="0" borderId="0" xfId="0" applyBorder="1" applyAlignment="1">
      <alignment horizontal="center"/>
    </xf>
    <xf numFmtId="0" fontId="49" fillId="0" borderId="0" xfId="0" applyFont="1" applyBorder="1" applyAlignment="1">
      <alignment horizontal="center" vertical="center" wrapText="1"/>
    </xf>
    <xf numFmtId="0" fontId="0" fillId="0" borderId="0" xfId="0" applyBorder="1" applyAlignment="1"/>
    <xf numFmtId="0" fontId="1" fillId="0" borderId="13" xfId="42" applyFont="1" applyBorder="1" applyAlignment="1" applyProtection="1">
      <alignment horizontal="left"/>
      <protection locked="0"/>
    </xf>
    <xf numFmtId="0" fontId="1" fillId="0" borderId="16" xfId="42" applyFont="1" applyBorder="1" applyAlignment="1" applyProtection="1">
      <alignment horizontal="left"/>
      <protection locked="0"/>
    </xf>
    <xf numFmtId="0" fontId="1" fillId="0" borderId="14" xfId="42" applyFont="1" applyBorder="1" applyAlignment="1" applyProtection="1">
      <alignment horizontal="left"/>
      <protection locked="0"/>
    </xf>
    <xf numFmtId="0" fontId="49" fillId="0" borderId="0" xfId="0" applyFont="1" applyBorder="1" applyAlignment="1">
      <alignment horizontal="center"/>
    </xf>
    <xf numFmtId="0" fontId="0" fillId="0" borderId="0" xfId="0" applyBorder="1" applyAlignment="1">
      <alignment horizontal="center"/>
    </xf>
    <xf numFmtId="0" fontId="49" fillId="0" borderId="36" xfId="0" applyFont="1" applyBorder="1" applyAlignment="1">
      <alignment horizontal="center" vertical="center" wrapText="1"/>
    </xf>
    <xf numFmtId="0" fontId="49" fillId="0" borderId="37" xfId="0" applyFont="1" applyBorder="1" applyAlignment="1">
      <alignment horizontal="center" vertical="center" wrapText="1"/>
    </xf>
    <xf numFmtId="0" fontId="0" fillId="0" borderId="0" xfId="0" applyFont="1" applyFill="1" applyBorder="1" applyAlignment="1">
      <alignment horizontal="center"/>
    </xf>
    <xf numFmtId="4" fontId="0" fillId="0" borderId="0" xfId="0" applyNumberFormat="1" applyBorder="1" applyAlignment="1">
      <alignment horizontal="center"/>
    </xf>
    <xf numFmtId="4" fontId="0" fillId="0" borderId="0" xfId="0" applyNumberFormat="1" applyFont="1" applyBorder="1" applyAlignment="1">
      <alignment horizontal="center"/>
    </xf>
    <xf numFmtId="0" fontId="49" fillId="0" borderId="0" xfId="0" applyFont="1" applyFill="1" applyBorder="1" applyAlignment="1">
      <alignment horizontal="center" vertical="center" wrapText="1"/>
    </xf>
    <xf numFmtId="0" fontId="0" fillId="35" borderId="0" xfId="0" applyFont="1" applyFill="1" applyBorder="1" applyAlignment="1">
      <alignment horizontal="center"/>
    </xf>
    <xf numFmtId="0" fontId="0" fillId="35" borderId="0" xfId="0" applyFill="1" applyBorder="1" applyAlignment="1">
      <alignment horizontal="center"/>
    </xf>
    <xf numFmtId="0" fontId="0" fillId="35" borderId="0" xfId="0" applyFont="1" applyFill="1" applyBorder="1" applyAlignment="1">
      <alignment horizontal="center" vertical="center" wrapText="1"/>
    </xf>
    <xf numFmtId="0" fontId="52" fillId="0" borderId="0" xfId="0" applyFont="1"/>
    <xf numFmtId="0" fontId="49" fillId="0" borderId="16" xfId="0" applyFont="1" applyBorder="1" applyAlignment="1">
      <alignment horizontal="center"/>
    </xf>
    <xf numFmtId="0" fontId="0" fillId="0" borderId="16" xfId="0" applyBorder="1" applyAlignment="1">
      <alignment horizontal="center" vertical="top"/>
    </xf>
    <xf numFmtId="0" fontId="0" fillId="0" borderId="20" xfId="0" applyBorder="1" applyAlignment="1">
      <alignment horizontal="center" vertical="top"/>
    </xf>
    <xf numFmtId="171" fontId="51" fillId="0" borderId="13" xfId="0" applyNumberFormat="1" applyFont="1" applyFill="1" applyBorder="1"/>
    <xf numFmtId="0" fontId="51" fillId="0" borderId="35" xfId="0" applyFont="1" applyBorder="1" applyProtection="1">
      <protection locked="0"/>
    </xf>
    <xf numFmtId="0" fontId="0" fillId="0" borderId="35" xfId="0" applyBorder="1"/>
    <xf numFmtId="171" fontId="51" fillId="0" borderId="42" xfId="0" applyNumberFormat="1" applyFont="1" applyFill="1" applyBorder="1"/>
    <xf numFmtId="0" fontId="51" fillId="0" borderId="43" xfId="0" applyFont="1" applyBorder="1" applyProtection="1">
      <protection locked="0"/>
    </xf>
    <xf numFmtId="0" fontId="54" fillId="0" borderId="16" xfId="0" applyFont="1" applyBorder="1" applyAlignment="1">
      <alignment horizontal="left" vertical="top" wrapText="1"/>
    </xf>
    <xf numFmtId="0" fontId="49" fillId="0" borderId="16" xfId="0" applyFont="1" applyBorder="1" applyAlignment="1">
      <alignment horizontal="center"/>
    </xf>
    <xf numFmtId="0" fontId="49" fillId="0" borderId="15" xfId="0" applyFont="1" applyBorder="1" applyAlignment="1">
      <alignment horizontal="center"/>
    </xf>
    <xf numFmtId="0" fontId="0" fillId="0" borderId="15" xfId="0" applyBorder="1" applyAlignment="1">
      <alignment horizontal="center"/>
    </xf>
    <xf numFmtId="0" fontId="49" fillId="0" borderId="0" xfId="0" applyFont="1" applyBorder="1" applyAlignment="1">
      <alignment horizontal="center"/>
    </xf>
    <xf numFmtId="0" fontId="0" fillId="0" borderId="0" xfId="0" applyBorder="1" applyAlignment="1">
      <alignment horizontal="center"/>
    </xf>
    <xf numFmtId="0" fontId="55" fillId="0" borderId="0" xfId="0" applyFont="1" applyBorder="1"/>
    <xf numFmtId="171" fontId="51" fillId="0" borderId="15" xfId="0" applyNumberFormat="1" applyFont="1" applyFill="1" applyBorder="1"/>
    <xf numFmtId="0" fontId="49" fillId="0" borderId="44" xfId="0" applyFont="1" applyBorder="1" applyAlignment="1">
      <alignment horizontal="center" vertical="center"/>
    </xf>
    <xf numFmtId="0" fontId="49" fillId="0" borderId="45" xfId="0" applyFont="1" applyBorder="1" applyAlignment="1">
      <alignment horizontal="center" vertical="center"/>
    </xf>
    <xf numFmtId="0" fontId="0" fillId="0" borderId="34" xfId="0" applyFont="1" applyBorder="1" applyAlignment="1">
      <alignment horizontal="center" vertical="center" wrapText="1"/>
    </xf>
    <xf numFmtId="0" fontId="0" fillId="0" borderId="35" xfId="0" applyBorder="1" applyAlignment="1">
      <alignment horizontal="center" vertical="center"/>
    </xf>
    <xf numFmtId="0" fontId="0" fillId="0" borderId="34" xfId="0" applyBorder="1" applyAlignment="1">
      <alignment horizontal="center" vertical="center" wrapText="1"/>
    </xf>
    <xf numFmtId="0" fontId="0" fillId="0" borderId="46" xfId="0" applyBorder="1" applyAlignment="1">
      <alignment horizontal="center" vertical="center" wrapText="1"/>
    </xf>
    <xf numFmtId="0" fontId="0" fillId="0" borderId="43" xfId="0" applyBorder="1" applyAlignment="1">
      <alignment horizontal="center" vertical="center"/>
    </xf>
    <xf numFmtId="0" fontId="54" fillId="0" borderId="20" xfId="0" applyFont="1" applyBorder="1" applyAlignment="1">
      <alignment horizontal="left" vertical="top" wrapText="1"/>
    </xf>
    <xf numFmtId="0" fontId="54" fillId="0" borderId="0" xfId="0" applyFont="1" applyBorder="1" applyAlignment="1">
      <alignment horizontal="left" vertical="top" wrapText="1"/>
    </xf>
    <xf numFmtId="0" fontId="0" fillId="0" borderId="0" xfId="0" applyBorder="1" applyAlignment="1">
      <alignment horizontal="left" vertical="top" wrapText="1"/>
    </xf>
    <xf numFmtId="0" fontId="54" fillId="0" borderId="16" xfId="0" applyFont="1" applyBorder="1"/>
    <xf numFmtId="0" fontId="48" fillId="0" borderId="47" xfId="42" applyFont="1" applyFill="1" applyBorder="1" applyAlignment="1">
      <alignment horizontal="center"/>
    </xf>
    <xf numFmtId="0" fontId="49" fillId="38" borderId="13" xfId="0" applyFont="1" applyFill="1" applyBorder="1" applyAlignment="1">
      <alignment horizontal="center"/>
    </xf>
    <xf numFmtId="0" fontId="1" fillId="35" borderId="21" xfId="42" applyFont="1" applyFill="1" applyBorder="1" applyAlignment="1">
      <alignment horizontal="right" wrapText="1"/>
    </xf>
    <xf numFmtId="171" fontId="56" fillId="35" borderId="13" xfId="0" applyNumberFormat="1" applyFont="1" applyFill="1" applyBorder="1" applyAlignment="1">
      <alignment horizontal="center" vertical="center" wrapText="1"/>
    </xf>
    <xf numFmtId="0" fontId="35" fillId="0" borderId="15" xfId="42" applyFont="1" applyFill="1" applyBorder="1" applyAlignment="1">
      <alignment horizontal="center" wrapText="1"/>
    </xf>
    <xf numFmtId="0" fontId="0" fillId="0" borderId="37" xfId="0" applyFont="1" applyBorder="1"/>
    <xf numFmtId="1" fontId="1" fillId="36" borderId="15" xfId="42" applyNumberFormat="1" applyFill="1" applyBorder="1" applyAlignment="1">
      <alignment horizontal="right" vertical="top"/>
    </xf>
    <xf numFmtId="0" fontId="1" fillId="0" borderId="15" xfId="42" applyFont="1" applyBorder="1" applyAlignment="1" applyProtection="1">
      <alignment horizontal="center"/>
      <protection locked="0"/>
    </xf>
    <xf numFmtId="0" fontId="1" fillId="0" borderId="34" xfId="42" applyFont="1" applyBorder="1" applyAlignment="1" applyProtection="1">
      <alignment horizontal="center"/>
      <protection locked="0"/>
    </xf>
    <xf numFmtId="171" fontId="51" fillId="0" borderId="14" xfId="0" applyNumberFormat="1" applyFont="1" applyFill="1" applyBorder="1"/>
    <xf numFmtId="171" fontId="51" fillId="0" borderId="48" xfId="0" applyNumberFormat="1" applyFont="1" applyFill="1" applyBorder="1"/>
    <xf numFmtId="2" fontId="51" fillId="35" borderId="15" xfId="0" applyNumberFormat="1" applyFont="1" applyFill="1" applyBorder="1" applyAlignment="1">
      <alignment horizontal="center" vertical="center"/>
    </xf>
    <xf numFmtId="11" fontId="51" fillId="35" borderId="15" xfId="0" applyNumberFormat="1" applyFont="1" applyFill="1" applyBorder="1" applyAlignment="1">
      <alignment horizontal="center" vertical="center"/>
    </xf>
    <xf numFmtId="179" fontId="51" fillId="35" borderId="15" xfId="0" applyNumberFormat="1" applyFont="1" applyFill="1" applyBorder="1" applyAlignment="1">
      <alignment horizontal="center" vertical="center"/>
    </xf>
    <xf numFmtId="171" fontId="51" fillId="0" borderId="49" xfId="0" applyNumberFormat="1" applyFont="1" applyFill="1" applyBorder="1"/>
    <xf numFmtId="0" fontId="1" fillId="0" borderId="15" xfId="42" applyFont="1" applyBorder="1" applyAlignment="1">
      <alignment horizontal="center" wrapText="1"/>
    </xf>
    <xf numFmtId="11" fontId="51" fillId="0" borderId="15" xfId="0" applyNumberFormat="1" applyFont="1" applyBorder="1" applyAlignment="1" applyProtection="1">
      <alignment vertical="top"/>
      <protection locked="0"/>
    </xf>
    <xf numFmtId="0" fontId="0" fillId="0" borderId="36" xfId="0" applyFont="1" applyFill="1" applyBorder="1" applyAlignment="1">
      <alignment horizontal="center"/>
    </xf>
    <xf numFmtId="0" fontId="0" fillId="0" borderId="0" xfId="0" applyFill="1" applyBorder="1" applyAlignment="1">
      <alignment horizontal="center"/>
    </xf>
    <xf numFmtId="0" fontId="0" fillId="0" borderId="37" xfId="0" applyFont="1" applyFill="1" applyBorder="1"/>
    <xf numFmtId="0" fontId="0" fillId="0" borderId="37" xfId="0" applyFill="1" applyBorder="1"/>
    <xf numFmtId="0" fontId="3" fillId="0" borderId="15" xfId="42" applyFont="1" applyFill="1" applyBorder="1" applyAlignment="1">
      <alignment horizontal="center"/>
    </xf>
    <xf numFmtId="4" fontId="0" fillId="39" borderId="0" xfId="0" applyNumberFormat="1" applyFill="1" applyBorder="1"/>
    <xf numFmtId="4" fontId="0" fillId="0" borderId="0" xfId="0" applyNumberFormat="1" applyFill="1" applyBorder="1"/>
    <xf numFmtId="0" fontId="49" fillId="0" borderId="15" xfId="0" applyFont="1" applyBorder="1" applyAlignment="1">
      <alignment horizontal="center"/>
    </xf>
    <xf numFmtId="0" fontId="49" fillId="0" borderId="0" xfId="0" applyFont="1"/>
    <xf numFmtId="0" fontId="1" fillId="30" borderId="0" xfId="42" applyFill="1" applyAlignment="1"/>
    <xf numFmtId="0" fontId="1" fillId="0" borderId="0" xfId="42" applyAlignment="1"/>
    <xf numFmtId="0" fontId="3" fillId="30" borderId="0" xfId="42" applyFont="1" applyFill="1" applyAlignment="1"/>
    <xf numFmtId="0" fontId="1" fillId="0" borderId="50" xfId="42" applyBorder="1" applyAlignment="1" applyProtection="1">
      <protection locked="0"/>
    </xf>
    <xf numFmtId="0" fontId="1" fillId="0" borderId="50" xfId="42" applyFont="1" applyBorder="1" applyAlignment="1" applyProtection="1">
      <protection locked="0"/>
    </xf>
    <xf numFmtId="0" fontId="1" fillId="0" borderId="30" xfId="42" applyFill="1" applyBorder="1" applyAlignment="1"/>
    <xf numFmtId="0" fontId="1" fillId="0" borderId="29" xfId="42" applyFill="1" applyBorder="1" applyAlignment="1"/>
    <xf numFmtId="0" fontId="1" fillId="30" borderId="0" xfId="42" applyFont="1" applyFill="1" applyAlignment="1"/>
    <xf numFmtId="0" fontId="1" fillId="30" borderId="0" xfId="42" applyFill="1" applyBorder="1" applyAlignment="1">
      <alignment vertical="top"/>
    </xf>
    <xf numFmtId="0" fontId="32" fillId="30" borderId="0" xfId="42" applyFont="1" applyFill="1" applyAlignment="1"/>
    <xf numFmtId="0" fontId="32" fillId="0" borderId="0" xfId="42" applyFont="1" applyAlignment="1"/>
    <xf numFmtId="0" fontId="1" fillId="0" borderId="15" xfId="42" applyFont="1" applyBorder="1" applyAlignment="1" applyProtection="1">
      <protection locked="0"/>
    </xf>
    <xf numFmtId="0" fontId="51" fillId="0" borderId="15" xfId="0" applyFont="1" applyFill="1" applyBorder="1" applyAlignment="1"/>
    <xf numFmtId="1" fontId="51" fillId="0" borderId="15" xfId="0" applyNumberFormat="1" applyFont="1" applyFill="1" applyBorder="1" applyAlignment="1"/>
    <xf numFmtId="1" fontId="51" fillId="0" borderId="15" xfId="0" applyNumberFormat="1" applyFont="1" applyFill="1" applyBorder="1" applyAlignment="1" applyProtection="1">
      <protection locked="0"/>
    </xf>
    <xf numFmtId="11" fontId="51" fillId="0" borderId="15" xfId="0" applyNumberFormat="1" applyFont="1" applyFill="1" applyBorder="1" applyAlignment="1"/>
    <xf numFmtId="179" fontId="51" fillId="0" borderId="15" xfId="0" applyNumberFormat="1" applyFont="1" applyFill="1" applyBorder="1" applyAlignment="1"/>
    <xf numFmtId="171" fontId="51" fillId="0" borderId="15" xfId="0" applyNumberFormat="1" applyFont="1" applyFill="1" applyBorder="1" applyAlignment="1"/>
    <xf numFmtId="0" fontId="3" fillId="31" borderId="15" xfId="42" applyFont="1" applyFill="1" applyBorder="1" applyAlignment="1"/>
    <xf numFmtId="0" fontId="1" fillId="31" borderId="15" xfId="42" applyFill="1" applyBorder="1" applyAlignment="1"/>
    <xf numFmtId="0" fontId="1" fillId="0" borderId="15" xfId="0" applyFont="1" applyBorder="1" applyAlignment="1"/>
    <xf numFmtId="0" fontId="1" fillId="0" borderId="15" xfId="42" applyBorder="1" applyAlignment="1" applyProtection="1">
      <alignment vertical="top"/>
      <protection locked="0"/>
    </xf>
    <xf numFmtId="0" fontId="1" fillId="0" borderId="15" xfId="0" applyFont="1" applyFill="1" applyBorder="1" applyAlignment="1" applyProtection="1">
      <alignment vertical="top"/>
      <protection locked="0"/>
    </xf>
    <xf numFmtId="0" fontId="4" fillId="30" borderId="0" xfId="42" applyFont="1" applyFill="1" applyAlignment="1"/>
    <xf numFmtId="0" fontId="3" fillId="0" borderId="0" xfId="42" applyFont="1" applyAlignment="1"/>
    <xf numFmtId="0" fontId="5" fillId="30" borderId="0" xfId="42" applyFont="1" applyFill="1" applyAlignment="1"/>
    <xf numFmtId="0" fontId="1" fillId="0" borderId="46" xfId="42" applyFont="1" applyBorder="1" applyAlignment="1" applyProtection="1">
      <alignment horizontal="center"/>
      <protection locked="0"/>
    </xf>
    <xf numFmtId="179" fontId="51" fillId="35" borderId="51" xfId="0" applyNumberFormat="1" applyFont="1" applyFill="1" applyBorder="1" applyAlignment="1">
      <alignment horizontal="center" vertical="center"/>
    </xf>
    <xf numFmtId="171" fontId="51" fillId="0" borderId="35" xfId="0" applyNumberFormat="1" applyFont="1" applyFill="1" applyBorder="1"/>
    <xf numFmtId="4" fontId="0" fillId="0" borderId="52" xfId="0" applyNumberFormat="1" applyBorder="1"/>
    <xf numFmtId="4" fontId="0" fillId="0" borderId="52" xfId="0" applyNumberFormat="1" applyFill="1" applyBorder="1"/>
    <xf numFmtId="0" fontId="1" fillId="30" borderId="0" xfId="42" applyFont="1" applyFill="1" applyAlignment="1">
      <alignment horizontal="left" wrapText="1"/>
    </xf>
    <xf numFmtId="0" fontId="1" fillId="30" borderId="0" xfId="42" applyFont="1" applyFill="1" applyAlignment="1">
      <alignment horizontal="left" vertical="center" wrapText="1"/>
    </xf>
    <xf numFmtId="0" fontId="41" fillId="36" borderId="36" xfId="42" applyFont="1" applyFill="1" applyBorder="1" applyAlignment="1">
      <alignment horizontal="center" vertical="center" textRotation="45"/>
    </xf>
    <xf numFmtId="0" fontId="1" fillId="36" borderId="16" xfId="42" applyFont="1" applyFill="1" applyBorder="1" applyAlignment="1">
      <alignment horizontal="left" vertical="center" wrapText="1"/>
    </xf>
    <xf numFmtId="0" fontId="1" fillId="36" borderId="54" xfId="42" applyFont="1" applyFill="1" applyBorder="1" applyAlignment="1">
      <alignment horizontal="left" vertical="center" wrapText="1"/>
    </xf>
    <xf numFmtId="0" fontId="0" fillId="0" borderId="16" xfId="0" applyBorder="1" applyAlignment="1">
      <alignment horizontal="left" vertical="center" wrapText="1"/>
    </xf>
    <xf numFmtId="0" fontId="0" fillId="0" borderId="54" xfId="0" applyBorder="1" applyAlignment="1">
      <alignment horizontal="left" vertical="center" wrapText="1"/>
    </xf>
    <xf numFmtId="0" fontId="3" fillId="37" borderId="31" xfId="42" applyFont="1" applyFill="1" applyBorder="1" applyAlignment="1">
      <alignment horizontal="center" textRotation="45"/>
    </xf>
    <xf numFmtId="0" fontId="3" fillId="37" borderId="36" xfId="42" applyFont="1" applyFill="1" applyBorder="1" applyAlignment="1">
      <alignment horizontal="center" textRotation="45"/>
    </xf>
    <xf numFmtId="0" fontId="1" fillId="37" borderId="19" xfId="42" applyFont="1" applyFill="1" applyBorder="1" applyAlignment="1">
      <alignment horizontal="left" vertical="center" wrapText="1"/>
    </xf>
    <xf numFmtId="0" fontId="1" fillId="37" borderId="53" xfId="42" applyFont="1" applyFill="1" applyBorder="1" applyAlignment="1">
      <alignment horizontal="left" vertical="center" wrapText="1"/>
    </xf>
    <xf numFmtId="0" fontId="1" fillId="37" borderId="16" xfId="42" applyFont="1" applyFill="1" applyBorder="1" applyAlignment="1">
      <alignment horizontal="left" vertical="center" wrapText="1"/>
    </xf>
    <xf numFmtId="0" fontId="1" fillId="37" borderId="54" xfId="42" applyFont="1" applyFill="1" applyBorder="1" applyAlignment="1">
      <alignment horizontal="left" vertical="center" wrapText="1"/>
    </xf>
    <xf numFmtId="0" fontId="31" fillId="30" borderId="0" xfId="42" applyFont="1" applyFill="1" applyAlignment="1">
      <alignment horizontal="center"/>
    </xf>
    <xf numFmtId="0" fontId="1" fillId="27" borderId="30" xfId="42" applyFont="1" applyFill="1" applyBorder="1" applyAlignment="1">
      <alignment horizontal="left" vertical="center" wrapText="1"/>
    </xf>
    <xf numFmtId="0" fontId="1" fillId="27" borderId="28" xfId="42" applyFont="1" applyFill="1" applyBorder="1" applyAlignment="1">
      <alignment horizontal="left" vertical="center" wrapText="1"/>
    </xf>
    <xf numFmtId="0" fontId="1" fillId="27" borderId="29" xfId="42" applyFont="1" applyFill="1" applyBorder="1" applyAlignment="1">
      <alignment horizontal="left" vertical="center" wrapText="1"/>
    </xf>
    <xf numFmtId="0" fontId="3" fillId="27" borderId="15" xfId="42" applyFont="1" applyFill="1" applyBorder="1" applyAlignment="1">
      <alignment horizontal="left"/>
    </xf>
    <xf numFmtId="0" fontId="1" fillId="0" borderId="15" xfId="42" applyBorder="1" applyAlignment="1" applyProtection="1">
      <alignment horizontal="left"/>
      <protection locked="0"/>
    </xf>
    <xf numFmtId="0" fontId="1" fillId="32" borderId="15" xfId="42" applyFont="1" applyFill="1" applyBorder="1" applyAlignment="1" applyProtection="1">
      <alignment horizontal="left"/>
      <protection locked="0"/>
    </xf>
    <xf numFmtId="0" fontId="1" fillId="0" borderId="13" xfId="42" applyFont="1" applyBorder="1" applyAlignment="1" applyProtection="1">
      <alignment horizontal="left"/>
      <protection locked="0"/>
    </xf>
    <xf numFmtId="0" fontId="1" fillId="0" borderId="14" xfId="42" applyBorder="1" applyAlignment="1" applyProtection="1">
      <alignment horizontal="left"/>
      <protection locked="0"/>
    </xf>
    <xf numFmtId="0" fontId="4" fillId="0" borderId="30" xfId="42" applyFont="1" applyBorder="1" applyAlignment="1">
      <alignment horizontal="center"/>
    </xf>
    <xf numFmtId="0" fontId="4" fillId="0" borderId="28" xfId="42" applyFont="1" applyBorder="1" applyAlignment="1">
      <alignment horizontal="center"/>
    </xf>
    <xf numFmtId="0" fontId="4" fillId="0" borderId="29" xfId="42" applyFont="1" applyBorder="1" applyAlignment="1">
      <alignment horizontal="center"/>
    </xf>
    <xf numFmtId="0" fontId="1" fillId="0" borderId="13" xfId="42" applyBorder="1" applyAlignment="1" applyProtection="1">
      <alignment horizontal="left"/>
      <protection locked="0"/>
    </xf>
    <xf numFmtId="0" fontId="3" fillId="27" borderId="13" xfId="42" applyFont="1" applyFill="1" applyBorder="1" applyAlignment="1">
      <alignment horizontal="left" vertical="center"/>
    </xf>
    <xf numFmtId="0" fontId="3" fillId="27" borderId="14" xfId="42" applyFont="1" applyFill="1" applyBorder="1" applyAlignment="1">
      <alignment horizontal="left" vertical="center"/>
    </xf>
    <xf numFmtId="0" fontId="1" fillId="0" borderId="15" xfId="42" applyBorder="1" applyAlignment="1" applyProtection="1">
      <alignment horizontal="center"/>
      <protection locked="0"/>
    </xf>
    <xf numFmtId="0" fontId="3" fillId="27" borderId="13" xfId="42" applyFont="1" applyFill="1" applyBorder="1" applyAlignment="1">
      <alignment horizontal="center"/>
    </xf>
    <xf numFmtId="0" fontId="3" fillId="27" borderId="16" xfId="42" applyFont="1" applyFill="1" applyBorder="1" applyAlignment="1">
      <alignment horizontal="center"/>
    </xf>
    <xf numFmtId="0" fontId="3" fillId="27" borderId="14" xfId="42" applyFont="1" applyFill="1" applyBorder="1" applyAlignment="1">
      <alignment horizontal="center"/>
    </xf>
    <xf numFmtId="0" fontId="1" fillId="0" borderId="16" xfId="42" applyFont="1" applyBorder="1" applyAlignment="1" applyProtection="1">
      <alignment horizontal="left"/>
      <protection locked="0"/>
    </xf>
    <xf numFmtId="0" fontId="1" fillId="0" borderId="14" xfId="42" applyFont="1" applyBorder="1" applyAlignment="1" applyProtection="1">
      <alignment horizontal="left"/>
      <protection locked="0"/>
    </xf>
    <xf numFmtId="0" fontId="3" fillId="27" borderId="13" xfId="42" applyFont="1" applyFill="1" applyBorder="1" applyAlignment="1">
      <alignment horizontal="left" vertical="top"/>
    </xf>
    <xf numFmtId="0" fontId="3" fillId="27" borderId="14" xfId="42" applyFont="1" applyFill="1" applyBorder="1" applyAlignment="1">
      <alignment horizontal="left" vertical="top"/>
    </xf>
    <xf numFmtId="0" fontId="1" fillId="0" borderId="13" xfId="42" applyFont="1" applyBorder="1" applyAlignment="1" applyProtection="1">
      <alignment horizontal="left" vertical="top"/>
      <protection locked="0"/>
    </xf>
    <xf numFmtId="0" fontId="3" fillId="0" borderId="16" xfId="42" applyFont="1" applyBorder="1" applyAlignment="1" applyProtection="1">
      <alignment horizontal="left" vertical="top"/>
      <protection locked="0"/>
    </xf>
    <xf numFmtId="0" fontId="3" fillId="0" borderId="14" xfId="42" applyFont="1" applyBorder="1" applyAlignment="1" applyProtection="1">
      <alignment horizontal="left" vertical="top"/>
      <protection locked="0"/>
    </xf>
    <xf numFmtId="0" fontId="3" fillId="27" borderId="13" xfId="42" applyFont="1" applyFill="1" applyBorder="1" applyAlignment="1">
      <alignment horizontal="left"/>
    </xf>
    <xf numFmtId="0" fontId="3" fillId="27" borderId="14" xfId="42" applyFont="1" applyFill="1" applyBorder="1" applyAlignment="1">
      <alignment horizontal="left"/>
    </xf>
    <xf numFmtId="0" fontId="50" fillId="0" borderId="0" xfId="42" applyFont="1" applyFill="1" applyAlignment="1">
      <alignment horizontal="left"/>
    </xf>
    <xf numFmtId="0" fontId="3" fillId="0" borderId="44" xfId="42" applyFont="1" applyFill="1" applyBorder="1" applyAlignment="1">
      <alignment horizontal="center"/>
    </xf>
    <xf numFmtId="0" fontId="3" fillId="0" borderId="34" xfId="42" applyFont="1" applyFill="1" applyBorder="1" applyAlignment="1">
      <alignment horizontal="center"/>
    </xf>
    <xf numFmtId="0" fontId="49" fillId="0" borderId="55" xfId="0" applyFont="1" applyBorder="1" applyAlignment="1">
      <alignment horizontal="center"/>
    </xf>
    <xf numFmtId="0" fontId="3" fillId="0" borderId="53" xfId="42" applyFont="1" applyFill="1" applyBorder="1" applyAlignment="1">
      <alignment horizontal="center"/>
    </xf>
    <xf numFmtId="0" fontId="3" fillId="0" borderId="54" xfId="42" applyFont="1" applyFill="1" applyBorder="1" applyAlignment="1">
      <alignment horizontal="center"/>
    </xf>
    <xf numFmtId="0" fontId="54" fillId="0" borderId="15" xfId="0" applyFont="1" applyFill="1" applyBorder="1" applyAlignment="1">
      <alignment horizontal="center"/>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1" fillId="0" borderId="26" xfId="0" applyFont="1" applyBorder="1" applyAlignment="1">
      <alignment horizontal="left" wrapText="1"/>
    </xf>
    <xf numFmtId="0" fontId="1" fillId="0" borderId="20" xfId="0" applyFont="1" applyBorder="1" applyAlignment="1">
      <alignment horizontal="left" wrapText="1"/>
    </xf>
    <xf numFmtId="0" fontId="1" fillId="0" borderId="24" xfId="0" applyFont="1" applyBorder="1" applyAlignment="1">
      <alignment horizontal="left" vertical="center" wrapText="1"/>
    </xf>
    <xf numFmtId="0" fontId="1" fillId="0" borderId="0"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0" xfId="0" applyFont="1" applyBorder="1" applyAlignment="1">
      <alignment horizontal="left" vertical="center" wrapText="1"/>
    </xf>
    <xf numFmtId="0" fontId="1" fillId="0" borderId="27" xfId="0" applyFont="1" applyBorder="1" applyAlignment="1">
      <alignment horizontal="left" vertical="center" wrapText="1"/>
    </xf>
    <xf numFmtId="0" fontId="6" fillId="0" borderId="30" xfId="42" applyFont="1" applyBorder="1" applyAlignment="1">
      <alignment wrapText="1"/>
    </xf>
    <xf numFmtId="0" fontId="6" fillId="0" borderId="29" xfId="42" applyFont="1" applyBorder="1" applyAlignment="1">
      <alignment wrapText="1"/>
    </xf>
    <xf numFmtId="0" fontId="0" fillId="0" borderId="22" xfId="0" applyNumberFormat="1" applyBorder="1" applyAlignment="1" applyProtection="1">
      <alignment wrapText="1"/>
      <protection locked="0"/>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50" fillId="0" borderId="0" xfId="42" applyFont="1" applyFill="1" applyAlignment="1">
      <alignment horizontal="center"/>
    </xf>
    <xf numFmtId="0" fontId="3" fillId="0" borderId="15" xfId="42" applyFont="1" applyFill="1" applyBorder="1" applyAlignment="1">
      <alignment horizontal="left" wrapText="1"/>
    </xf>
    <xf numFmtId="0" fontId="3" fillId="33" borderId="56" xfId="42" applyFont="1" applyFill="1" applyBorder="1" applyAlignment="1">
      <alignment horizontal="center" wrapText="1"/>
    </xf>
    <xf numFmtId="0" fontId="3" fillId="33" borderId="18" xfId="42" applyFont="1" applyFill="1" applyBorder="1" applyAlignment="1">
      <alignment horizontal="center" wrapText="1"/>
    </xf>
    <xf numFmtId="0" fontId="3" fillId="33" borderId="30" xfId="42" applyFont="1" applyFill="1" applyBorder="1" applyAlignment="1">
      <alignment horizontal="center"/>
    </xf>
    <xf numFmtId="0" fontId="3" fillId="33" borderId="28" xfId="42" applyFont="1" applyFill="1" applyBorder="1" applyAlignment="1">
      <alignment horizontal="center"/>
    </xf>
    <xf numFmtId="0" fontId="3" fillId="33" borderId="29" xfId="42" applyFont="1" applyFill="1" applyBorder="1" applyAlignment="1">
      <alignment horizontal="center"/>
    </xf>
    <xf numFmtId="0" fontId="3" fillId="0" borderId="56" xfId="42" applyFont="1" applyBorder="1" applyAlignment="1">
      <alignment horizontal="center" wrapText="1"/>
    </xf>
    <xf numFmtId="0" fontId="3" fillId="0" borderId="57" xfId="42" applyFont="1" applyBorder="1" applyAlignment="1">
      <alignment horizontal="center" wrapText="1"/>
    </xf>
    <xf numFmtId="0" fontId="3" fillId="0" borderId="18" xfId="42" applyFont="1" applyBorder="1" applyAlignment="1">
      <alignment horizontal="center" wrapText="1"/>
    </xf>
    <xf numFmtId="0" fontId="6" fillId="0" borderId="28" xfId="42" applyFont="1" applyBorder="1" applyAlignment="1">
      <alignment wrapText="1"/>
    </xf>
    <xf numFmtId="0" fontId="36" fillId="0" borderId="30" xfId="42" applyFont="1" applyBorder="1" applyAlignment="1">
      <alignment wrapText="1"/>
    </xf>
    <xf numFmtId="0" fontId="36" fillId="0" borderId="29" xfId="42" applyFont="1" applyBorder="1" applyAlignment="1">
      <alignment wrapText="1"/>
    </xf>
    <xf numFmtId="0" fontId="36" fillId="0" borderId="30" xfId="42" applyFont="1" applyBorder="1"/>
    <xf numFmtId="0" fontId="36" fillId="0" borderId="29" xfId="42" applyFont="1" applyBorder="1"/>
    <xf numFmtId="0" fontId="53" fillId="0" borderId="30" xfId="0" applyFont="1" applyBorder="1" applyAlignment="1">
      <alignment horizontal="center" vertical="center" wrapText="1"/>
    </xf>
    <xf numFmtId="0" fontId="0" fillId="0" borderId="28" xfId="0" applyBorder="1" applyAlignment="1">
      <alignment horizontal="center"/>
    </xf>
    <xf numFmtId="0" fontId="0" fillId="0" borderId="29" xfId="0" applyBorder="1" applyAlignment="1"/>
    <xf numFmtId="0" fontId="53" fillId="0" borderId="38" xfId="0" applyFont="1" applyBorder="1" applyAlignment="1">
      <alignment horizontal="center" vertical="center" wrapText="1"/>
    </xf>
    <xf numFmtId="0" fontId="53" fillId="0" borderId="20" xfId="0" applyFont="1" applyBorder="1" applyAlignment="1">
      <alignment horizontal="center" vertical="center" wrapText="1"/>
    </xf>
    <xf numFmtId="0" fontId="0" fillId="0" borderId="20" xfId="0" applyBorder="1" applyAlignment="1"/>
    <xf numFmtId="0" fontId="0" fillId="0" borderId="19" xfId="0" applyBorder="1" applyAlignment="1"/>
    <xf numFmtId="0" fontId="0" fillId="0" borderId="53" xfId="0" applyBorder="1" applyAlignment="1"/>
    <xf numFmtId="0" fontId="53" fillId="0" borderId="59" xfId="0" applyFont="1" applyBorder="1" applyAlignment="1">
      <alignment horizontal="center" vertical="center" wrapText="1"/>
    </xf>
    <xf numFmtId="0" fontId="53" fillId="0" borderId="19" xfId="0" applyFont="1" applyBorder="1" applyAlignment="1">
      <alignment horizontal="center" vertical="center" wrapText="1"/>
    </xf>
    <xf numFmtId="0" fontId="49" fillId="0" borderId="58" xfId="0" applyFont="1" applyBorder="1" applyAlignment="1">
      <alignment horizontal="center"/>
    </xf>
    <xf numFmtId="0" fontId="0" fillId="0" borderId="58" xfId="0" applyBorder="1" applyAlignment="1">
      <alignment horizontal="center"/>
    </xf>
    <xf numFmtId="0" fontId="0" fillId="0" borderId="58" xfId="0" applyBorder="1" applyAlignment="1"/>
    <xf numFmtId="0" fontId="49" fillId="0" borderId="13" xfId="0" applyFont="1" applyBorder="1" applyAlignment="1">
      <alignment horizontal="center" vertical="center" wrapText="1"/>
    </xf>
    <xf numFmtId="0" fontId="0" fillId="0" borderId="16" xfId="0" applyBorder="1" applyAlignment="1">
      <alignment horizontal="center"/>
    </xf>
    <xf numFmtId="0" fontId="0" fillId="0" borderId="14" xfId="0" applyBorder="1" applyAlignment="1">
      <alignment horizontal="center"/>
    </xf>
    <xf numFmtId="0" fontId="49" fillId="0" borderId="13" xfId="0" applyFont="1" applyBorder="1" applyAlignment="1">
      <alignment horizontal="center"/>
    </xf>
    <xf numFmtId="0" fontId="49" fillId="0" borderId="15" xfId="0" applyFont="1" applyBorder="1" applyAlignment="1">
      <alignment horizontal="center"/>
    </xf>
    <xf numFmtId="0" fontId="0" fillId="0" borderId="15" xfId="0" applyBorder="1" applyAlignment="1">
      <alignment horizontal="center"/>
    </xf>
    <xf numFmtId="0" fontId="0" fillId="0" borderId="15" xfId="0" applyBorder="1" applyAlignment="1"/>
    <xf numFmtId="0" fontId="0" fillId="0" borderId="16" xfId="0" applyBorder="1" applyAlignment="1"/>
    <xf numFmtId="0" fontId="0" fillId="0" borderId="14" xfId="0" applyBorder="1" applyAlignment="1"/>
    <xf numFmtId="0" fontId="49" fillId="0" borderId="0" xfId="0" applyFont="1" applyBorder="1" applyAlignment="1">
      <alignment horizontal="center"/>
    </xf>
    <xf numFmtId="0" fontId="0" fillId="0" borderId="0" xfId="0" applyBorder="1" applyAlignment="1">
      <alignment horizontal="center"/>
    </xf>
    <xf numFmtId="0" fontId="0" fillId="0" borderId="0" xfId="0" applyBorder="1" applyAlignment="1"/>
    <xf numFmtId="0" fontId="49" fillId="0" borderId="15" xfId="0" applyFont="1" applyBorder="1" applyAlignment="1">
      <alignment horizontal="center" vertical="center" wrapText="1"/>
    </xf>
    <xf numFmtId="0" fontId="12" fillId="0" borderId="0" xfId="42" applyFont="1" applyAlignment="1">
      <alignment horizontal="center"/>
    </xf>
  </cellXfs>
  <cellStyles count="7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DateTime" xfId="30"/>
    <cellStyle name="Euro" xfId="31"/>
    <cellStyle name="Explanatory Text 2" xfId="32"/>
    <cellStyle name="Good 2" xfId="33"/>
    <cellStyle name="Heading 1 2" xfId="34"/>
    <cellStyle name="Heading 2 2" xfId="35"/>
    <cellStyle name="Heading 3 2" xfId="36"/>
    <cellStyle name="Heading 4 2" xfId="37"/>
    <cellStyle name="Hyperlink" xfId="38" builtinId="8"/>
    <cellStyle name="Input 2" xfId="39"/>
    <cellStyle name="Linked Cell 2" xfId="40"/>
    <cellStyle name="Neutral 2" xfId="41"/>
    <cellStyle name="Normal" xfId="0" builtinId="0"/>
    <cellStyle name="Normal 2" xfId="42"/>
    <cellStyle name="Normal 3" xfId="43"/>
    <cellStyle name="Note 2" xfId="44"/>
    <cellStyle name="Output 2" xfId="45"/>
    <cellStyle name="Percent 2" xfId="46"/>
    <cellStyle name="Percent 2 2" xfId="47"/>
    <cellStyle name="Standard_Bsp-Datenaustausch_S&amp;U" xfId="48"/>
    <cellStyle name="Style 21" xfId="49"/>
    <cellStyle name="Style 22" xfId="50"/>
    <cellStyle name="Style 23" xfId="51"/>
    <cellStyle name="Style 24" xfId="52"/>
    <cellStyle name="Style 25" xfId="53"/>
    <cellStyle name="Style 26" xfId="54"/>
    <cellStyle name="Style 27" xfId="55"/>
    <cellStyle name="Style 28" xfId="56"/>
    <cellStyle name="Style 29" xfId="57"/>
    <cellStyle name="Style 30" xfId="58"/>
    <cellStyle name="Style 31" xfId="59"/>
    <cellStyle name="Style 32" xfId="60"/>
    <cellStyle name="Style 33" xfId="61"/>
    <cellStyle name="Style 34" xfId="62"/>
    <cellStyle name="Style 35" xfId="63"/>
    <cellStyle name="Style 36" xfId="64"/>
    <cellStyle name="text" xfId="65"/>
    <cellStyle name="Title 2" xfId="66"/>
    <cellStyle name="Total 2" xfId="67"/>
    <cellStyle name="Warning Text 2" xfId="68"/>
    <cellStyle name="wissenschaft-Eingabe" xfId="69"/>
  </cellStyles>
  <dxfs count="5">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26</xdr:row>
      <xdr:rowOff>0</xdr:rowOff>
    </xdr:from>
    <xdr:to>
      <xdr:col>13</xdr:col>
      <xdr:colOff>0</xdr:colOff>
      <xdr:row>40</xdr:row>
      <xdr:rowOff>0</xdr:rowOff>
    </xdr:to>
    <xdr:sp macro="" textlink="">
      <xdr:nvSpPr>
        <xdr:cNvPr id="2" name="TextBox 1">
          <a:extLst>
            <a:ext uri="{FF2B5EF4-FFF2-40B4-BE49-F238E27FC236}">
              <a16:creationId xmlns:a16="http://schemas.microsoft.com/office/drawing/2014/main" id="{C88B40BB-96D3-49D9-A20E-AE5BCFDF306D}"/>
            </a:ext>
          </a:extLst>
        </xdr:cNvPr>
        <xdr:cNvSpPr txBox="1"/>
      </xdr:nvSpPr>
      <xdr:spPr>
        <a:xfrm>
          <a:off x="752475" y="660082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416298</xdr:colOff>
      <xdr:row>9</xdr:row>
      <xdr:rowOff>934</xdr:rowOff>
    </xdr:from>
    <xdr:to>
      <xdr:col>14</xdr:col>
      <xdr:colOff>836083</xdr:colOff>
      <xdr:row>17</xdr:row>
      <xdr:rowOff>161859</xdr:rowOff>
    </xdr:to>
    <xdr:sp macro="" textlink="">
      <xdr:nvSpPr>
        <xdr:cNvPr id="2" name="Text Box 13">
          <a:extLst>
            <a:ext uri="{FF2B5EF4-FFF2-40B4-BE49-F238E27FC236}">
              <a16:creationId xmlns:a16="http://schemas.microsoft.com/office/drawing/2014/main" id="{BDE6F5D2-F987-46ED-B4BB-C43D76225FB2}"/>
            </a:ext>
          </a:extLst>
        </xdr:cNvPr>
        <xdr:cNvSpPr txBox="1">
          <a:spLocks noChangeArrowheads="1"/>
        </xdr:cNvSpPr>
      </xdr:nvSpPr>
      <xdr:spPr bwMode="auto">
        <a:xfrm>
          <a:off x="7198098" y="1782109"/>
          <a:ext cx="7973110" cy="1484966"/>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Goal and Scope: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Natural Gas</a:t>
          </a:r>
          <a:endParaRPr lang="en-US" sz="1000" b="1"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unit process accounts for natural gas that is vented during liquid unloading at a natural gas extraction site. This unit process includes multiple scenarios to account for parameterization differences. The scenarios discern between region (i.e. Northeast, Mid-Continent, Southwest, Gulf Coast, and Rocky Mountains), conventional vs. unconventional well type (unconventional considered to be shale gas, coal bed, and tight sand), the application of a plunger lift system, and the corresponding expected, minimum, and maximum parameter values.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All inputs and outputs are normalized per the reference flow (e.g.,  per kg of natural gas)</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16</xdr:row>
          <xdr:rowOff>238125</xdr:rowOff>
        </xdr:to>
        <xdr:sp macro="" textlink="">
          <xdr:nvSpPr>
            <xdr:cNvPr id="8193" name="Process" hidden="1">
              <a:extLst>
                <a:ext uri="{63B3BB69-23CF-44E3-9099-C40C66FF867C}">
                  <a14:compatExt spid="_x0000_s8193"/>
                </a:ext>
                <a:ext uri="{FF2B5EF4-FFF2-40B4-BE49-F238E27FC236}">
                  <a16:creationId xmlns:a16="http://schemas.microsoft.com/office/drawing/2014/main" id="{1D598921-8DB5-424B-8919-4268DCBDA71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16</xdr:row>
          <xdr:rowOff>238125</xdr:rowOff>
        </xdr:to>
        <xdr:sp macro="" textlink="">
          <xdr:nvSpPr>
            <xdr:cNvPr id="8194" name="CheckBox1" hidden="1">
              <a:extLst>
                <a:ext uri="{63B3BB69-23CF-44E3-9099-C40C66FF867C}">
                  <a14:compatExt spid="_x0000_s8194"/>
                </a:ext>
                <a:ext uri="{FF2B5EF4-FFF2-40B4-BE49-F238E27FC236}">
                  <a16:creationId xmlns:a16="http://schemas.microsoft.com/office/drawing/2014/main" id="{B3E31915-70DB-461F-856C-9768FE3DF3D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4</xdr:col>
          <xdr:colOff>209550</xdr:colOff>
          <xdr:row>16</xdr:row>
          <xdr:rowOff>238125</xdr:rowOff>
        </xdr:to>
        <xdr:sp macro="" textlink="">
          <xdr:nvSpPr>
            <xdr:cNvPr id="8195" name="CheckBox2" hidden="1">
              <a:extLst>
                <a:ext uri="{63B3BB69-23CF-44E3-9099-C40C66FF867C}">
                  <a14:compatExt spid="_x0000_s8195"/>
                </a:ext>
                <a:ext uri="{FF2B5EF4-FFF2-40B4-BE49-F238E27FC236}">
                  <a16:creationId xmlns:a16="http://schemas.microsoft.com/office/drawing/2014/main" id="{F7272A6A-5C45-40B8-A119-4912283557B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28575</xdr:rowOff>
        </xdr:from>
        <xdr:to>
          <xdr:col>5</xdr:col>
          <xdr:colOff>142875</xdr:colOff>
          <xdr:row>16</xdr:row>
          <xdr:rowOff>238125</xdr:rowOff>
        </xdr:to>
        <xdr:sp macro="" textlink="">
          <xdr:nvSpPr>
            <xdr:cNvPr id="8196" name="CheckBox3" hidden="1">
              <a:extLst>
                <a:ext uri="{63B3BB69-23CF-44E3-9099-C40C66FF867C}">
                  <a14:compatExt spid="_x0000_s8196"/>
                </a:ext>
                <a:ext uri="{FF2B5EF4-FFF2-40B4-BE49-F238E27FC236}">
                  <a16:creationId xmlns:a16="http://schemas.microsoft.com/office/drawing/2014/main" id="{16F6040A-552B-47AE-B81A-20D1E0670533}"/>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40</xdr:col>
      <xdr:colOff>235323</xdr:colOff>
      <xdr:row>4</xdr:row>
      <xdr:rowOff>3921</xdr:rowOff>
    </xdr:from>
    <xdr:to>
      <xdr:col>50</xdr:col>
      <xdr:colOff>280147</xdr:colOff>
      <xdr:row>19</xdr:row>
      <xdr:rowOff>2238</xdr:rowOff>
    </xdr:to>
    <xdr:sp macro="" textlink="">
      <xdr:nvSpPr>
        <xdr:cNvPr id="4" name="TextBox 3">
          <a:extLst>
            <a:ext uri="{FF2B5EF4-FFF2-40B4-BE49-F238E27FC236}">
              <a16:creationId xmlns:a16="http://schemas.microsoft.com/office/drawing/2014/main" id="{FEAD22D2-D4BA-47CE-95F8-F28E79FDEDA2}"/>
            </a:ext>
          </a:extLst>
        </xdr:cNvPr>
        <xdr:cNvSpPr txBox="1"/>
      </xdr:nvSpPr>
      <xdr:spPr>
        <a:xfrm>
          <a:off x="39276617" y="829234"/>
          <a:ext cx="6096001" cy="25997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Equation Notes:</a:t>
          </a:r>
        </a:p>
        <a:p>
          <a:endParaRPr lang="en-US" sz="1100"/>
        </a:p>
        <a:p>
          <a:r>
            <a:rPr lang="en-US" sz="1100"/>
            <a:t>E=(V*0.37E-3*TD2*WD*SP)+(SFR*(HR-0.5)*Zp*V);</a:t>
          </a:r>
          <a:r>
            <a:rPr lang="en-US" sz="1100" baseline="0"/>
            <a:t> No plunger lifts</a:t>
          </a:r>
        </a:p>
        <a:p>
          <a:endParaRPr lang="en-US" sz="1100" baseline="0"/>
        </a:p>
        <a:p>
          <a:r>
            <a:rPr lang="en-US" sz="1100" b="0" i="0" u="none" strike="noStrike">
              <a:solidFill>
                <a:schemeClr val="dk1"/>
              </a:solidFill>
              <a:effectLst/>
              <a:latin typeface="+mn-lt"/>
              <a:ea typeface="+mn-ea"/>
              <a:cs typeface="+mn-cs"/>
            </a:rPr>
            <a:t>E=(V*0.37E-3*CD</a:t>
          </a:r>
          <a:r>
            <a:rPr lang="en-US" sz="1100" b="0" i="0" u="none" strike="noStrike" baseline="30000">
              <a:solidFill>
                <a:schemeClr val="dk1"/>
              </a:solidFill>
              <a:effectLst/>
              <a:latin typeface="+mn-lt"/>
              <a:ea typeface="+mn-ea"/>
              <a:cs typeface="+mn-cs"/>
            </a:rPr>
            <a:t>2</a:t>
          </a:r>
          <a:r>
            <a:rPr lang="en-US" sz="1100" b="0" i="0" u="none" strike="noStrike">
              <a:solidFill>
                <a:schemeClr val="dk1"/>
              </a:solidFill>
              <a:effectLst/>
              <a:latin typeface="+mn-lt"/>
              <a:ea typeface="+mn-ea"/>
              <a:cs typeface="+mn-cs"/>
            </a:rPr>
            <a:t>*WD*SP)+(SFR*(HR-1)*Z*V);</a:t>
          </a:r>
          <a:r>
            <a:rPr lang="en-US" sz="1100" b="0" i="0" u="none" strike="noStrike" baseline="0">
              <a:solidFill>
                <a:schemeClr val="dk1"/>
              </a:solidFill>
              <a:effectLst/>
              <a:latin typeface="+mn-lt"/>
              <a:ea typeface="+mn-ea"/>
              <a:cs typeface="+mn-cs"/>
            </a:rPr>
            <a:t> With plunger lifts</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As shown above, the first summation operator is dropped from the equation since the values are being calculated for a group of wells based on the sample data from API/ANGA. The summation operator in the second half of the equation is replaced with the product of the term with V (number of unloading events). This is correct since we have average data for the well production rate, so it is the same for all wells in the sample.</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552450</xdr:colOff>
      <xdr:row>2</xdr:row>
      <xdr:rowOff>47625</xdr:rowOff>
    </xdr:from>
    <xdr:to>
      <xdr:col>28</xdr:col>
      <xdr:colOff>476250</xdr:colOff>
      <xdr:row>22</xdr:row>
      <xdr:rowOff>66675</xdr:rowOff>
    </xdr:to>
    <xdr:grpSp>
      <xdr:nvGrpSpPr>
        <xdr:cNvPr id="27777" name="Group 27">
          <a:extLst>
            <a:ext uri="{FF2B5EF4-FFF2-40B4-BE49-F238E27FC236}">
              <a16:creationId xmlns:a16="http://schemas.microsoft.com/office/drawing/2014/main" id="{09C6BFC4-1CC4-4930-9602-9893637F5917}"/>
            </a:ext>
          </a:extLst>
        </xdr:cNvPr>
        <xdr:cNvGrpSpPr>
          <a:grpSpLocks/>
        </xdr:cNvGrpSpPr>
      </xdr:nvGrpSpPr>
      <xdr:grpSpPr bwMode="auto">
        <a:xfrm>
          <a:off x="7867650" y="428625"/>
          <a:ext cx="9677400" cy="3829050"/>
          <a:chOff x="91" y="304800"/>
          <a:chExt cx="9076674" cy="3829539"/>
        </a:xfrm>
      </xdr:grpSpPr>
      <xdr:grpSp>
        <xdr:nvGrpSpPr>
          <xdr:cNvPr id="27778" name="Legend">
            <a:extLst>
              <a:ext uri="{FF2B5EF4-FFF2-40B4-BE49-F238E27FC236}">
                <a16:creationId xmlns:a16="http://schemas.microsoft.com/office/drawing/2014/main" id="{5288BB1B-7E42-4303-BAAA-F3A74ED29702}"/>
              </a:ext>
            </a:extLst>
          </xdr:cNvPr>
          <xdr:cNvGrpSpPr>
            <a:grpSpLocks/>
          </xdr:cNvGrpSpPr>
        </xdr:nvGrpSpPr>
        <xdr:grpSpPr bwMode="auto">
          <a:xfrm>
            <a:off x="91" y="3353189"/>
            <a:ext cx="1848657" cy="752570"/>
            <a:chOff x="7457258" y="3134667"/>
            <a:chExt cx="1869331" cy="721373"/>
          </a:xfrm>
        </xdr:grpSpPr>
        <xdr:sp macro="" textlink="">
          <xdr:nvSpPr>
            <xdr:cNvPr id="3" name="LegendBox">
              <a:extLst>
                <a:ext uri="{FF2B5EF4-FFF2-40B4-BE49-F238E27FC236}">
                  <a16:creationId xmlns:a16="http://schemas.microsoft.com/office/drawing/2014/main" id="{2F5AD028-B6D0-49C2-A616-0D0925C186A1}"/>
                </a:ext>
              </a:extLst>
            </xdr:cNvPr>
            <xdr:cNvSpPr/>
          </xdr:nvSpPr>
          <xdr:spPr>
            <a:xfrm>
              <a:off x="7529527" y="3390344"/>
              <a:ext cx="261976" cy="182626"/>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4896D1DE-3841-4DEC-9EAC-629F8417AE85}"/>
                </a:ext>
              </a:extLst>
            </xdr:cNvPr>
            <xdr:cNvSpPr/>
          </xdr:nvSpPr>
          <xdr:spPr>
            <a:xfrm>
              <a:off x="7529527" y="3664283"/>
              <a:ext cx="261976" cy="182626"/>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365390DA-17A7-46EA-AED9-8059EA82BB58}"/>
                </a:ext>
              </a:extLst>
            </xdr:cNvPr>
            <xdr:cNvSpPr txBox="1"/>
          </xdr:nvSpPr>
          <xdr:spPr>
            <a:xfrm>
              <a:off x="7737301" y="3344687"/>
              <a:ext cx="523951" cy="228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334CDAD2-C612-412B-9FEA-6C26A1E4B230}"/>
                </a:ext>
              </a:extLst>
            </xdr:cNvPr>
            <xdr:cNvSpPr txBox="1"/>
          </xdr:nvSpPr>
          <xdr:spPr>
            <a:xfrm>
              <a:off x="7737301" y="3627758"/>
              <a:ext cx="1589921" cy="228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F351B32-8F98-4AB9-9298-252B40D6601B}"/>
                </a:ext>
              </a:extLst>
            </xdr:cNvPr>
            <xdr:cNvSpPr txBox="1"/>
          </xdr:nvSpPr>
          <xdr:spPr>
            <a:xfrm>
              <a:off x="7457258" y="3134667"/>
              <a:ext cx="289076" cy="219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a:extLst>
              <a:ext uri="{FF2B5EF4-FFF2-40B4-BE49-F238E27FC236}">
                <a16:creationId xmlns:a16="http://schemas.microsoft.com/office/drawing/2014/main" id="{6CCD366F-D80A-4AB0-9F32-D0965405A88B}"/>
              </a:ext>
            </a:extLst>
          </xdr:cNvPr>
          <xdr:cNvSpPr/>
        </xdr:nvSpPr>
        <xdr:spPr>
          <a:xfrm>
            <a:off x="4261482" y="3353189"/>
            <a:ext cx="2304903" cy="78115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a:t>
            </a:r>
          </a:p>
          <a:p>
            <a:pPr algn="ctr"/>
            <a:r>
              <a:rPr lang="en-US" sz="800" baseline="0">
                <a:solidFill>
                  <a:schemeClr val="tx1"/>
                </a:solidFill>
                <a:latin typeface="Arial" pitchFamily="34" charset="0"/>
                <a:cs typeface="Arial" pitchFamily="34" charset="0"/>
              </a:rPr>
              <a:t>(Vented, Intermediate Flow)</a:t>
            </a:r>
          </a:p>
        </xdr:txBody>
      </xdr:sp>
      <xdr:cxnSp macro="">
        <xdr:nvCxnSpPr>
          <xdr:cNvPr id="11" name="Straight Arrow Connector Process">
            <a:extLst>
              <a:ext uri="{FF2B5EF4-FFF2-40B4-BE49-F238E27FC236}">
                <a16:creationId xmlns:a16="http://schemas.microsoft.com/office/drawing/2014/main" id="{96AF91B1-DD7B-43C8-AE52-284C39531E2A}"/>
              </a:ext>
            </a:extLst>
          </xdr:cNvPr>
          <xdr:cNvCxnSpPr>
            <a:stCxn id="9" idx="2"/>
            <a:endCxn id="10" idx="0"/>
          </xdr:cNvCxnSpPr>
        </xdr:nvCxnSpPr>
        <xdr:spPr>
          <a:xfrm>
            <a:off x="5413934" y="2743511"/>
            <a:ext cx="0" cy="609678"/>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Reference Flow 1">
            <a:extLst>
              <a:ext uri="{FF2B5EF4-FFF2-40B4-BE49-F238E27FC236}">
                <a16:creationId xmlns:a16="http://schemas.microsoft.com/office/drawing/2014/main" id="{D304C1A5-615B-45D1-8651-63E2E9A72F55}"/>
              </a:ext>
            </a:extLst>
          </xdr:cNvPr>
          <xdr:cNvSpPr/>
        </xdr:nvSpPr>
        <xdr:spPr>
          <a:xfrm>
            <a:off x="7575898" y="1486051"/>
            <a:ext cx="1500867" cy="571573"/>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a:t>
            </a:r>
          </a:p>
          <a:p>
            <a:pPr algn="ctr"/>
            <a:r>
              <a:rPr lang="en-US" sz="800" baseline="0">
                <a:solidFill>
                  <a:schemeClr val="tx1"/>
                </a:solidFill>
                <a:latin typeface="Arial" pitchFamily="34" charset="0"/>
                <a:cs typeface="Arial" pitchFamily="34" charset="0"/>
              </a:rPr>
              <a:t>(Reference Flow)</a:t>
            </a:r>
          </a:p>
        </xdr:txBody>
      </xdr:sp>
      <xdr:cxnSp macro="">
        <xdr:nvCxnSpPr>
          <xdr:cNvPr id="14" name="Connector Ref 1">
            <a:extLst>
              <a:ext uri="{FF2B5EF4-FFF2-40B4-BE49-F238E27FC236}">
                <a16:creationId xmlns:a16="http://schemas.microsoft.com/office/drawing/2014/main" id="{AA5FAAB0-80F6-4F15-92A2-2BF2B47921FA}"/>
              </a:ext>
            </a:extLst>
          </xdr:cNvPr>
          <xdr:cNvCxnSpPr>
            <a:stCxn id="8" idx="3"/>
            <a:endCxn id="13" idx="1"/>
          </xdr:cNvCxnSpPr>
        </xdr:nvCxnSpPr>
        <xdr:spPr>
          <a:xfrm flipV="1">
            <a:off x="7200681" y="1771837"/>
            <a:ext cx="375217" cy="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27783" name="Boundary Group">
            <a:extLst>
              <a:ext uri="{FF2B5EF4-FFF2-40B4-BE49-F238E27FC236}">
                <a16:creationId xmlns:a16="http://schemas.microsoft.com/office/drawing/2014/main" id="{EC1A9117-C3B0-4FFD-99A7-8BFE8D7EF95F}"/>
              </a:ext>
            </a:extLst>
          </xdr:cNvPr>
          <xdr:cNvGrpSpPr>
            <a:grpSpLocks/>
          </xdr:cNvGrpSpPr>
        </xdr:nvGrpSpPr>
        <xdr:grpSpPr bwMode="auto">
          <a:xfrm>
            <a:off x="3533588" y="304800"/>
            <a:ext cx="3668806" cy="2940708"/>
            <a:chOff x="3556000" y="304800"/>
            <a:chExt cx="3695700" cy="2940708"/>
          </a:xfrm>
        </xdr:grpSpPr>
        <xdr:sp macro="" textlink="">
          <xdr:nvSpPr>
            <xdr:cNvPr id="8" name="Boundary Box">
              <a:extLst>
                <a:ext uri="{FF2B5EF4-FFF2-40B4-BE49-F238E27FC236}">
                  <a16:creationId xmlns:a16="http://schemas.microsoft.com/office/drawing/2014/main" id="{F6EFD05D-FA4B-4216-816D-5EB519CDD8AD}"/>
                </a:ext>
              </a:extLst>
            </xdr:cNvPr>
            <xdr:cNvSpPr/>
          </xdr:nvSpPr>
          <xdr:spPr>
            <a:xfrm>
              <a:off x="3560293" y="304800"/>
              <a:ext cx="3653685" cy="2943601"/>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Natural Gas Well, Venting From Liquid Unloading: System Boundary</a:t>
              </a:r>
            </a:p>
          </xdr:txBody>
        </xdr:sp>
        <xdr:sp macro="" textlink="">
          <xdr:nvSpPr>
            <xdr:cNvPr id="9" name="Process">
              <a:extLst>
                <a:ext uri="{FF2B5EF4-FFF2-40B4-BE49-F238E27FC236}">
                  <a16:creationId xmlns:a16="http://schemas.microsoft.com/office/drawing/2014/main" id="{E154E0D9-F9B2-4614-9652-4E310E524455}"/>
                </a:ext>
              </a:extLst>
            </xdr:cNvPr>
            <xdr:cNvSpPr/>
          </xdr:nvSpPr>
          <xdr:spPr>
            <a:xfrm>
              <a:off x="4325227" y="1066897"/>
              <a:ext cx="2276804" cy="1686141"/>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This unit process quantifies the mass of vented natural gas that is anticipated to occur during liquid unloading at a natural gas well. </a:t>
              </a:r>
            </a:p>
          </xdr:txBody>
        </xdr:sp>
        <xdr:sp macro="" textlink="">
          <xdr:nvSpPr>
            <xdr:cNvPr id="12" name="LinkRef 1">
              <a:extLst>
                <a:ext uri="{FF2B5EF4-FFF2-40B4-BE49-F238E27FC236}">
                  <a16:creationId xmlns:a16="http://schemas.microsoft.com/office/drawing/2014/main" id="{F0AC1836-D208-45C0-9AEA-E8E190B21F6A}"/>
                </a:ext>
              </a:extLst>
            </xdr:cNvPr>
            <xdr:cNvSpPr/>
          </xdr:nvSpPr>
          <xdr:spPr>
            <a:xfrm>
              <a:off x="7240976" y="304800"/>
              <a:ext cx="8999" cy="2819761"/>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15" name="Link 1">
              <a:extLst>
                <a:ext uri="{FF2B5EF4-FFF2-40B4-BE49-F238E27FC236}">
                  <a16:creationId xmlns:a16="http://schemas.microsoft.com/office/drawing/2014/main" id="{68DB2916-A43F-4B28-A929-C461DABF96C5}"/>
                </a:ext>
              </a:extLst>
            </xdr:cNvPr>
            <xdr:cNvSpPr/>
          </xdr:nvSpPr>
          <xdr:spPr>
            <a:xfrm>
              <a:off x="3560293" y="304800"/>
              <a:ext cx="8999" cy="2819761"/>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sp macro="" textlink="">
        <xdr:nvSpPr>
          <xdr:cNvPr id="16" name="Upstream Emssion Data 1">
            <a:extLst>
              <a:ext uri="{FF2B5EF4-FFF2-40B4-BE49-F238E27FC236}">
                <a16:creationId xmlns:a16="http://schemas.microsoft.com/office/drawing/2014/main" id="{F49AED46-1F1C-4020-8360-25E4BA2B3561}"/>
              </a:ext>
            </a:extLst>
          </xdr:cNvPr>
          <xdr:cNvSpPr/>
        </xdr:nvSpPr>
        <xdr:spPr>
          <a:xfrm>
            <a:off x="1081073" y="1362210"/>
            <a:ext cx="1545536" cy="695414"/>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USA [Natural gas (resource)]</a:t>
            </a:r>
          </a:p>
        </xdr:txBody>
      </xdr:sp>
      <xdr:cxnSp macro="">
        <xdr:nvCxnSpPr>
          <xdr:cNvPr id="17" name="Straight Arrow Connector 1">
            <a:extLst>
              <a:ext uri="{FF2B5EF4-FFF2-40B4-BE49-F238E27FC236}">
                <a16:creationId xmlns:a16="http://schemas.microsoft.com/office/drawing/2014/main" id="{FF8ABBC0-9F4B-4286-8E4F-BEDF37206A13}"/>
              </a:ext>
            </a:extLst>
          </xdr:cNvPr>
          <xdr:cNvCxnSpPr>
            <a:stCxn id="16" idx="2"/>
            <a:endCxn id="15" idx="1"/>
          </xdr:cNvCxnSpPr>
        </xdr:nvCxnSpPr>
        <xdr:spPr>
          <a:xfrm>
            <a:off x="2456868" y="1714680"/>
            <a:ext cx="1098849" cy="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prod65-share2.mgn.netl.doe.gov/Documents%20and%20Settings/549109/Local%20Settings/Temporary%20Internet%20Files/Content.Outlook/XYGWUYCU/UP%20revisions/CTL_plant_operations/DS_Stage3_O_CTL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498"/>
  <sheetViews>
    <sheetView workbookViewId="0">
      <selection activeCell="C13" sqref="C13"/>
    </sheetView>
  </sheetViews>
  <sheetFormatPr defaultRowHeight="12.75" x14ac:dyDescent="0.2"/>
  <cols>
    <col min="1" max="1" width="2" style="42" customWidth="1"/>
    <col min="2" max="2" width="9.140625" style="1"/>
    <col min="3" max="3" width="21.28515625" style="1" customWidth="1"/>
    <col min="4" max="4" width="8.42578125" style="1" customWidth="1"/>
    <col min="5" max="5" width="9.140625" style="1"/>
    <col min="6" max="6" width="8" style="1" customWidth="1"/>
    <col min="7" max="12" width="9.140625" style="1"/>
    <col min="13" max="13" width="45.85546875" style="1" customWidth="1"/>
    <col min="14" max="14" width="2" style="1" customWidth="1"/>
    <col min="15" max="15" width="9.140625" style="1" customWidth="1"/>
    <col min="16" max="27" width="9.140625" style="42"/>
    <col min="28" max="16384" width="9.140625" style="1"/>
  </cols>
  <sheetData>
    <row r="1" spans="1:27" ht="20.25" x14ac:dyDescent="0.3">
      <c r="A1" s="307" t="s">
        <v>44</v>
      </c>
      <c r="B1" s="307"/>
      <c r="C1" s="307"/>
      <c r="D1" s="307"/>
      <c r="E1" s="307"/>
      <c r="F1" s="307"/>
      <c r="G1" s="307"/>
      <c r="H1" s="307"/>
      <c r="I1" s="307"/>
      <c r="J1" s="307"/>
      <c r="K1" s="307"/>
      <c r="L1" s="307"/>
      <c r="M1" s="307"/>
      <c r="N1" s="307"/>
      <c r="O1" s="41"/>
    </row>
    <row r="2" spans="1:27" ht="21" thickBot="1" x14ac:dyDescent="0.35">
      <c r="A2" s="307" t="s">
        <v>45</v>
      </c>
      <c r="B2" s="307"/>
      <c r="C2" s="307"/>
      <c r="D2" s="307"/>
      <c r="E2" s="307"/>
      <c r="F2" s="307"/>
      <c r="G2" s="307"/>
      <c r="H2" s="307"/>
      <c r="I2" s="307"/>
      <c r="J2" s="307"/>
      <c r="K2" s="307"/>
      <c r="L2" s="307"/>
      <c r="M2" s="307"/>
      <c r="N2" s="307"/>
      <c r="O2" s="41"/>
    </row>
    <row r="3" spans="1:27" ht="12.75" customHeight="1" thickBot="1" x14ac:dyDescent="0.25">
      <c r="B3" s="42"/>
      <c r="C3" s="43" t="s">
        <v>46</v>
      </c>
      <c r="D3" s="153" t="str">
        <f>'Data Summary'!D4</f>
        <v>Natural Gas Well, Venting From Liquid Unloading</v>
      </c>
      <c r="E3" s="140"/>
      <c r="F3" s="140"/>
      <c r="G3" s="140"/>
      <c r="H3" s="140"/>
      <c r="I3" s="140"/>
      <c r="J3" s="140"/>
      <c r="K3" s="140"/>
      <c r="L3" s="140"/>
      <c r="M3" s="141"/>
      <c r="N3" s="42"/>
      <c r="O3" s="42"/>
    </row>
    <row r="4" spans="1:27" ht="42.75" customHeight="1" thickBot="1" x14ac:dyDescent="0.25">
      <c r="B4" s="42"/>
      <c r="C4" s="43" t="s">
        <v>47</v>
      </c>
      <c r="D4" s="308" t="str">
        <f>'Data Summary'!D6</f>
        <v xml:space="preserve">This unit process quantifies the mass of vented natural gas that is anticipated to occur during liquid unloading at a natural gas well. </v>
      </c>
      <c r="E4" s="309"/>
      <c r="F4" s="309"/>
      <c r="G4" s="309"/>
      <c r="H4" s="309"/>
      <c r="I4" s="309"/>
      <c r="J4" s="309"/>
      <c r="K4" s="309"/>
      <c r="L4" s="309"/>
      <c r="M4" s="310"/>
      <c r="N4" s="42"/>
      <c r="O4" s="42"/>
    </row>
    <row r="5" spans="1:27" ht="39" customHeight="1" thickBot="1" x14ac:dyDescent="0.25">
      <c r="B5" s="42"/>
      <c r="C5" s="43" t="s">
        <v>48</v>
      </c>
      <c r="D5" s="308" t="s">
        <v>407</v>
      </c>
      <c r="E5" s="309"/>
      <c r="F5" s="309"/>
      <c r="G5" s="309"/>
      <c r="H5" s="309"/>
      <c r="I5" s="309"/>
      <c r="J5" s="309"/>
      <c r="K5" s="309"/>
      <c r="L5" s="309"/>
      <c r="M5" s="310"/>
      <c r="N5" s="42"/>
      <c r="O5" s="42"/>
    </row>
    <row r="6" spans="1:27" ht="56.25" customHeight="1" thickBot="1" x14ac:dyDescent="0.25">
      <c r="B6" s="42"/>
      <c r="C6" s="44" t="s">
        <v>49</v>
      </c>
      <c r="D6" s="308" t="s">
        <v>50</v>
      </c>
      <c r="E6" s="309"/>
      <c r="F6" s="309"/>
      <c r="G6" s="309"/>
      <c r="H6" s="309"/>
      <c r="I6" s="309"/>
      <c r="J6" s="309"/>
      <c r="K6" s="309"/>
      <c r="L6" s="309"/>
      <c r="M6" s="310"/>
      <c r="N6" s="42"/>
      <c r="O6" s="42"/>
    </row>
    <row r="7" spans="1:27" x14ac:dyDescent="0.2">
      <c r="B7" s="45" t="s">
        <v>51</v>
      </c>
      <c r="C7" s="45"/>
      <c r="D7" s="45"/>
      <c r="E7" s="45"/>
      <c r="F7" s="45"/>
      <c r="G7" s="45"/>
      <c r="H7" s="45"/>
      <c r="I7" s="45"/>
      <c r="J7" s="45"/>
      <c r="K7" s="45"/>
      <c r="L7" s="45"/>
      <c r="M7" s="45"/>
      <c r="N7" s="42"/>
      <c r="O7" s="42"/>
    </row>
    <row r="8" spans="1:27" ht="13.5" thickBot="1" x14ac:dyDescent="0.25">
      <c r="B8" s="45"/>
      <c r="C8" s="45" t="s">
        <v>52</v>
      </c>
      <c r="D8" s="45" t="s">
        <v>53</v>
      </c>
      <c r="E8" s="45"/>
      <c r="F8" s="45"/>
      <c r="G8" s="45"/>
      <c r="H8" s="45"/>
      <c r="I8" s="45"/>
      <c r="J8" s="45"/>
      <c r="K8" s="45"/>
      <c r="L8" s="45"/>
      <c r="M8" s="45"/>
      <c r="N8" s="42"/>
      <c r="O8" s="42"/>
    </row>
    <row r="9" spans="1:27" s="12" customFormat="1" ht="15" customHeight="1" x14ac:dyDescent="0.2">
      <c r="A9" s="42"/>
      <c r="B9" s="301" t="s">
        <v>43</v>
      </c>
      <c r="C9" s="99" t="s">
        <v>54</v>
      </c>
      <c r="D9" s="303" t="s">
        <v>55</v>
      </c>
      <c r="E9" s="303"/>
      <c r="F9" s="303"/>
      <c r="G9" s="303"/>
      <c r="H9" s="303"/>
      <c r="I9" s="303"/>
      <c r="J9" s="303"/>
      <c r="K9" s="303"/>
      <c r="L9" s="303"/>
      <c r="M9" s="304"/>
      <c r="N9" s="42"/>
      <c r="O9" s="42"/>
      <c r="P9" s="42"/>
      <c r="Q9" s="42"/>
      <c r="R9" s="42"/>
      <c r="S9" s="42"/>
      <c r="T9" s="42"/>
      <c r="U9" s="42"/>
      <c r="V9" s="42"/>
      <c r="W9" s="42"/>
      <c r="X9" s="42"/>
      <c r="Y9" s="42"/>
      <c r="Z9" s="42"/>
      <c r="AA9" s="42"/>
    </row>
    <row r="10" spans="1:27" s="12" customFormat="1" ht="15" customHeight="1" x14ac:dyDescent="0.2">
      <c r="A10" s="42"/>
      <c r="B10" s="302"/>
      <c r="C10" s="100" t="s">
        <v>56</v>
      </c>
      <c r="D10" s="305" t="s">
        <v>57</v>
      </c>
      <c r="E10" s="305"/>
      <c r="F10" s="305"/>
      <c r="G10" s="305"/>
      <c r="H10" s="305"/>
      <c r="I10" s="305"/>
      <c r="J10" s="305"/>
      <c r="K10" s="305"/>
      <c r="L10" s="305"/>
      <c r="M10" s="306"/>
      <c r="N10" s="42"/>
      <c r="O10" s="42"/>
      <c r="P10" s="42"/>
      <c r="Q10" s="42"/>
      <c r="R10" s="42"/>
      <c r="S10" s="42"/>
      <c r="T10" s="42"/>
      <c r="U10" s="42"/>
      <c r="V10" s="42"/>
      <c r="W10" s="42"/>
      <c r="X10" s="42"/>
      <c r="Y10" s="42"/>
      <c r="Z10" s="42"/>
      <c r="AA10" s="42"/>
    </row>
    <row r="11" spans="1:27" s="12" customFormat="1" ht="15" customHeight="1" x14ac:dyDescent="0.2">
      <c r="A11" s="42"/>
      <c r="B11" s="302"/>
      <c r="C11" s="100" t="s">
        <v>58</v>
      </c>
      <c r="D11" s="305" t="s">
        <v>59</v>
      </c>
      <c r="E11" s="305"/>
      <c r="F11" s="305"/>
      <c r="G11" s="305"/>
      <c r="H11" s="305"/>
      <c r="I11" s="305"/>
      <c r="J11" s="305"/>
      <c r="K11" s="305"/>
      <c r="L11" s="305"/>
      <c r="M11" s="306"/>
      <c r="N11" s="42"/>
      <c r="O11" s="42"/>
      <c r="P11" s="42"/>
      <c r="Q11" s="42"/>
      <c r="R11" s="42"/>
      <c r="S11" s="42"/>
      <c r="T11" s="42"/>
      <c r="U11" s="42"/>
      <c r="V11" s="42"/>
      <c r="W11" s="42"/>
      <c r="X11" s="42"/>
      <c r="Y11" s="42"/>
      <c r="Z11" s="42"/>
      <c r="AA11" s="42"/>
    </row>
    <row r="12" spans="1:27" ht="15" customHeight="1" x14ac:dyDescent="0.2">
      <c r="B12" s="296" t="s">
        <v>42</v>
      </c>
      <c r="C12" s="101" t="s">
        <v>401</v>
      </c>
      <c r="D12" s="297" t="s">
        <v>403</v>
      </c>
      <c r="E12" s="297"/>
      <c r="F12" s="297"/>
      <c r="G12" s="297"/>
      <c r="H12" s="297"/>
      <c r="I12" s="297"/>
      <c r="J12" s="297"/>
      <c r="K12" s="297"/>
      <c r="L12" s="297"/>
      <c r="M12" s="298"/>
      <c r="N12" s="42"/>
      <c r="O12" s="42"/>
    </row>
    <row r="13" spans="1:27" ht="15" customHeight="1" x14ac:dyDescent="0.2">
      <c r="B13" s="296"/>
      <c r="C13" s="101" t="s">
        <v>402</v>
      </c>
      <c r="D13" s="297" t="s">
        <v>405</v>
      </c>
      <c r="E13" s="299"/>
      <c r="F13" s="299"/>
      <c r="G13" s="299"/>
      <c r="H13" s="299"/>
      <c r="I13" s="299"/>
      <c r="J13" s="299"/>
      <c r="K13" s="299"/>
      <c r="L13" s="299"/>
      <c r="M13" s="300"/>
      <c r="N13" s="42"/>
      <c r="O13" s="42"/>
    </row>
    <row r="14" spans="1:27" ht="15" customHeight="1" x14ac:dyDescent="0.2">
      <c r="B14" s="296"/>
      <c r="C14" s="101" t="s">
        <v>42</v>
      </c>
      <c r="D14" s="297" t="s">
        <v>404</v>
      </c>
      <c r="E14" s="299"/>
      <c r="F14" s="299"/>
      <c r="G14" s="299"/>
      <c r="H14" s="299"/>
      <c r="I14" s="299"/>
      <c r="J14" s="299"/>
      <c r="K14" s="299"/>
      <c r="L14" s="299"/>
      <c r="M14" s="300"/>
      <c r="N14" s="42"/>
      <c r="O14" s="42"/>
    </row>
    <row r="15" spans="1:27" ht="15" customHeight="1" x14ac:dyDescent="0.2">
      <c r="B15" s="296"/>
      <c r="C15" s="101" t="s">
        <v>0</v>
      </c>
      <c r="D15" s="297" t="s">
        <v>60</v>
      </c>
      <c r="E15" s="297"/>
      <c r="F15" s="297"/>
      <c r="G15" s="297"/>
      <c r="H15" s="297"/>
      <c r="I15" s="297"/>
      <c r="J15" s="297"/>
      <c r="K15" s="297"/>
      <c r="L15" s="297"/>
      <c r="M15" s="298"/>
      <c r="N15" s="42"/>
      <c r="O15" s="42"/>
    </row>
    <row r="16" spans="1:27" x14ac:dyDescent="0.2">
      <c r="B16" s="45"/>
      <c r="C16" s="45"/>
      <c r="D16" s="45"/>
      <c r="E16" s="45"/>
      <c r="F16" s="45"/>
      <c r="G16" s="45"/>
      <c r="H16" s="45"/>
      <c r="I16" s="45"/>
      <c r="J16" s="45"/>
      <c r="K16" s="45"/>
      <c r="L16" s="45"/>
      <c r="M16" s="45"/>
      <c r="N16" s="42"/>
      <c r="O16" s="42"/>
    </row>
    <row r="17" spans="2:16" x14ac:dyDescent="0.2">
      <c r="B17" s="45" t="s">
        <v>61</v>
      </c>
      <c r="C17" s="45"/>
      <c r="D17" s="45"/>
      <c r="E17" s="45"/>
      <c r="F17" s="45"/>
      <c r="G17" s="45"/>
      <c r="H17" s="45"/>
      <c r="I17" s="45"/>
      <c r="J17" s="45"/>
      <c r="K17" s="45"/>
      <c r="L17" s="45"/>
      <c r="M17" s="45"/>
      <c r="N17" s="42"/>
      <c r="O17" s="42"/>
    </row>
    <row r="18" spans="2:16" ht="38.25" customHeight="1" x14ac:dyDescent="0.2">
      <c r="B18" s="45"/>
      <c r="C18" s="294" t="s">
        <v>406</v>
      </c>
      <c r="D18" s="294"/>
      <c r="E18" s="294"/>
      <c r="F18" s="294"/>
      <c r="G18" s="294"/>
      <c r="H18" s="294"/>
      <c r="I18" s="294"/>
      <c r="J18" s="294"/>
      <c r="K18" s="294"/>
      <c r="L18" s="294"/>
      <c r="M18" s="294"/>
      <c r="N18" s="42"/>
      <c r="O18" s="42"/>
    </row>
    <row r="19" spans="2:16" x14ac:dyDescent="0.2">
      <c r="B19" s="45" t="s">
        <v>62</v>
      </c>
      <c r="C19" s="45"/>
      <c r="D19" s="45"/>
      <c r="E19" s="45"/>
      <c r="F19" s="45"/>
      <c r="G19" s="46"/>
      <c r="H19" s="46"/>
      <c r="I19" s="46"/>
      <c r="J19" s="46"/>
      <c r="K19" s="46"/>
      <c r="L19" s="46"/>
      <c r="M19" s="46"/>
      <c r="N19" s="42"/>
      <c r="O19" s="42"/>
    </row>
    <row r="20" spans="2:16" x14ac:dyDescent="0.2">
      <c r="B20" s="46"/>
      <c r="C20" s="46" t="s">
        <v>63</v>
      </c>
      <c r="D20" s="46"/>
      <c r="E20" s="47" t="s">
        <v>64</v>
      </c>
      <c r="F20" s="48"/>
      <c r="G20" s="46" t="s">
        <v>65</v>
      </c>
      <c r="H20" s="46"/>
      <c r="I20" s="46"/>
      <c r="J20" s="46"/>
      <c r="K20" s="46"/>
      <c r="L20" s="46"/>
      <c r="M20" s="46"/>
      <c r="N20" s="42"/>
      <c r="O20" s="42"/>
      <c r="P20" s="46"/>
    </row>
    <row r="21" spans="2:16" x14ac:dyDescent="0.2">
      <c r="B21" s="46"/>
      <c r="C21" s="46" t="s">
        <v>66</v>
      </c>
      <c r="D21" s="46"/>
      <c r="E21" s="46"/>
      <c r="F21" s="46"/>
      <c r="G21" s="46"/>
      <c r="H21" s="46"/>
      <c r="I21" s="46"/>
      <c r="J21" s="46"/>
      <c r="K21" s="46"/>
      <c r="L21" s="46"/>
      <c r="M21" s="46"/>
      <c r="N21" s="42"/>
      <c r="O21" s="42"/>
      <c r="P21" s="46"/>
    </row>
    <row r="22" spans="2:16" x14ac:dyDescent="0.2">
      <c r="B22" s="46"/>
      <c r="C22" s="46" t="s">
        <v>67</v>
      </c>
      <c r="D22" s="46"/>
      <c r="E22" s="46"/>
      <c r="F22" s="46"/>
      <c r="G22" s="46"/>
      <c r="H22" s="46"/>
      <c r="I22" s="46"/>
      <c r="J22" s="46"/>
      <c r="K22" s="46"/>
      <c r="L22" s="46"/>
      <c r="M22" s="46"/>
      <c r="N22" s="46"/>
      <c r="O22" s="46"/>
      <c r="P22" s="46"/>
    </row>
    <row r="23" spans="2:16" x14ac:dyDescent="0.2">
      <c r="B23" s="46"/>
      <c r="C23" s="295" t="s">
        <v>224</v>
      </c>
      <c r="D23" s="295"/>
      <c r="E23" s="295"/>
      <c r="F23" s="295"/>
      <c r="G23" s="295"/>
      <c r="H23" s="295"/>
      <c r="I23" s="295"/>
      <c r="J23" s="295"/>
      <c r="K23" s="295"/>
      <c r="L23" s="295"/>
      <c r="M23" s="295"/>
      <c r="N23" s="46"/>
      <c r="O23" s="46"/>
      <c r="P23" s="46"/>
    </row>
    <row r="24" spans="2:16" x14ac:dyDescent="0.2">
      <c r="B24" s="46"/>
      <c r="C24" s="46"/>
      <c r="D24" s="46"/>
      <c r="E24" s="46"/>
      <c r="F24" s="46"/>
      <c r="G24" s="46"/>
      <c r="H24" s="46"/>
      <c r="I24" s="46"/>
      <c r="J24" s="46"/>
      <c r="K24" s="46"/>
      <c r="L24" s="46"/>
      <c r="M24" s="46"/>
      <c r="N24" s="46"/>
      <c r="O24" s="46"/>
    </row>
    <row r="25" spans="2:16" x14ac:dyDescent="0.2">
      <c r="B25" s="45" t="s">
        <v>68</v>
      </c>
      <c r="C25" s="46"/>
      <c r="D25" s="46"/>
      <c r="E25" s="46"/>
      <c r="F25" s="46"/>
      <c r="G25" s="46"/>
      <c r="H25" s="46"/>
      <c r="I25" s="46"/>
      <c r="J25" s="46"/>
      <c r="K25" s="46"/>
      <c r="L25" s="46"/>
      <c r="M25" s="46"/>
      <c r="N25" s="46"/>
      <c r="O25" s="46"/>
    </row>
    <row r="26" spans="2:16" x14ac:dyDescent="0.2">
      <c r="B26" s="46"/>
      <c r="C26" s="46"/>
      <c r="D26" s="46"/>
      <c r="E26" s="46"/>
      <c r="F26" s="46"/>
      <c r="G26" s="46"/>
      <c r="H26" s="46"/>
      <c r="I26" s="46"/>
      <c r="J26" s="46"/>
      <c r="K26" s="46"/>
      <c r="L26" s="46"/>
      <c r="M26" s="46"/>
      <c r="N26" s="46"/>
      <c r="O26" s="46"/>
    </row>
    <row r="27" spans="2:16" x14ac:dyDescent="0.2">
      <c r="B27" s="46"/>
      <c r="C27" s="46"/>
      <c r="D27" s="46"/>
      <c r="E27" s="46"/>
      <c r="F27" s="46"/>
      <c r="G27" s="46"/>
      <c r="H27" s="46"/>
      <c r="I27" s="46"/>
      <c r="J27" s="46"/>
      <c r="K27" s="46"/>
      <c r="L27" s="46"/>
      <c r="M27" s="46"/>
      <c r="N27" s="46"/>
      <c r="O27" s="46"/>
    </row>
    <row r="28" spans="2:16" x14ac:dyDescent="0.2">
      <c r="B28" s="46"/>
      <c r="C28" s="46"/>
      <c r="D28" s="46"/>
      <c r="E28" s="46"/>
      <c r="F28" s="46"/>
      <c r="G28" s="46"/>
      <c r="H28" s="46"/>
      <c r="I28" s="46"/>
      <c r="J28" s="46"/>
      <c r="K28" s="46"/>
      <c r="L28" s="46"/>
      <c r="M28" s="46"/>
      <c r="N28" s="46"/>
      <c r="O28" s="46"/>
    </row>
    <row r="29" spans="2:16" x14ac:dyDescent="0.2">
      <c r="B29" s="46"/>
      <c r="C29" s="46"/>
      <c r="D29" s="46"/>
      <c r="E29" s="46"/>
      <c r="F29" s="46"/>
      <c r="G29" s="46"/>
      <c r="H29" s="46"/>
      <c r="I29" s="46"/>
      <c r="J29" s="46"/>
      <c r="K29" s="46"/>
      <c r="L29" s="46"/>
      <c r="M29" s="46"/>
      <c r="N29" s="46"/>
      <c r="O29" s="46"/>
    </row>
    <row r="30" spans="2:16" x14ac:dyDescent="0.2">
      <c r="B30" s="46"/>
      <c r="C30" s="46"/>
      <c r="D30" s="46"/>
      <c r="E30" s="46"/>
      <c r="F30" s="46"/>
      <c r="G30" s="46"/>
      <c r="H30" s="46"/>
      <c r="I30" s="46"/>
      <c r="J30" s="46"/>
      <c r="K30" s="46"/>
      <c r="L30" s="46"/>
      <c r="M30" s="46"/>
      <c r="N30" s="46"/>
      <c r="O30" s="46"/>
    </row>
    <row r="31" spans="2:16" x14ac:dyDescent="0.2">
      <c r="B31" s="46"/>
      <c r="C31" s="46"/>
      <c r="D31" s="46"/>
      <c r="E31" s="46"/>
      <c r="F31" s="46"/>
      <c r="G31" s="46"/>
      <c r="H31" s="46"/>
      <c r="I31" s="46"/>
      <c r="J31" s="46"/>
      <c r="K31" s="46"/>
      <c r="L31" s="46"/>
      <c r="M31" s="46"/>
      <c r="N31" s="46"/>
      <c r="O31" s="46"/>
    </row>
    <row r="32" spans="2:16" x14ac:dyDescent="0.2">
      <c r="B32" s="46"/>
      <c r="C32" s="46"/>
      <c r="D32" s="46"/>
      <c r="E32" s="46"/>
      <c r="F32" s="46"/>
      <c r="G32" s="46"/>
      <c r="H32" s="46"/>
      <c r="I32" s="46"/>
      <c r="J32" s="46"/>
      <c r="K32" s="46"/>
      <c r="L32" s="46"/>
      <c r="M32" s="46"/>
      <c r="N32" s="46"/>
      <c r="O32" s="46"/>
    </row>
    <row r="33" spans="2:15" x14ac:dyDescent="0.2">
      <c r="B33" s="46"/>
      <c r="C33" s="46"/>
      <c r="D33" s="46"/>
      <c r="E33" s="46"/>
      <c r="F33" s="46"/>
      <c r="G33" s="46"/>
      <c r="H33" s="46"/>
      <c r="I33" s="46"/>
      <c r="J33" s="46"/>
      <c r="K33" s="46"/>
      <c r="L33" s="46"/>
      <c r="M33" s="46"/>
      <c r="N33" s="46"/>
      <c r="O33" s="46"/>
    </row>
    <row r="34" spans="2:15" x14ac:dyDescent="0.2">
      <c r="B34" s="46"/>
      <c r="C34" s="46"/>
      <c r="D34" s="46"/>
      <c r="E34" s="46"/>
      <c r="F34" s="46"/>
      <c r="G34" s="46"/>
      <c r="H34" s="46"/>
      <c r="I34" s="46"/>
      <c r="J34" s="46"/>
      <c r="K34" s="46"/>
      <c r="L34" s="46"/>
      <c r="M34" s="46"/>
      <c r="N34" s="46"/>
      <c r="O34" s="46"/>
    </row>
    <row r="35" spans="2:15" x14ac:dyDescent="0.2">
      <c r="B35" s="46"/>
      <c r="C35" s="46"/>
      <c r="D35" s="46"/>
      <c r="E35" s="46"/>
      <c r="F35" s="46"/>
      <c r="G35" s="46"/>
      <c r="H35" s="46"/>
      <c r="I35" s="46"/>
      <c r="J35" s="46"/>
      <c r="K35" s="46"/>
      <c r="L35" s="46"/>
      <c r="M35" s="46"/>
      <c r="N35" s="46"/>
      <c r="O35" s="46"/>
    </row>
    <row r="36" spans="2:15" x14ac:dyDescent="0.2">
      <c r="B36" s="46"/>
      <c r="C36" s="46"/>
      <c r="D36" s="46"/>
      <c r="E36" s="46"/>
      <c r="F36" s="46"/>
      <c r="G36" s="46"/>
      <c r="H36" s="46"/>
      <c r="I36" s="46"/>
      <c r="J36" s="46"/>
      <c r="K36" s="46"/>
      <c r="L36" s="46"/>
      <c r="M36" s="46"/>
      <c r="N36" s="46"/>
      <c r="O36" s="46"/>
    </row>
    <row r="37" spans="2:15" x14ac:dyDescent="0.2">
      <c r="B37" s="46"/>
      <c r="C37" s="46"/>
      <c r="D37" s="46"/>
      <c r="E37" s="46"/>
      <c r="F37" s="46"/>
      <c r="G37" s="46"/>
      <c r="H37" s="46"/>
      <c r="I37" s="46"/>
      <c r="J37" s="46"/>
      <c r="K37" s="46"/>
      <c r="L37" s="46"/>
      <c r="M37" s="46"/>
      <c r="N37" s="46"/>
      <c r="O37" s="46"/>
    </row>
    <row r="38" spans="2:15" x14ac:dyDescent="0.2">
      <c r="B38" s="46"/>
      <c r="C38" s="46"/>
      <c r="D38" s="46"/>
      <c r="E38" s="46"/>
      <c r="F38" s="46"/>
      <c r="G38" s="46"/>
      <c r="H38" s="46"/>
      <c r="I38" s="46"/>
      <c r="J38" s="46"/>
      <c r="K38" s="46"/>
      <c r="L38" s="46"/>
      <c r="M38" s="46"/>
      <c r="N38" s="46"/>
      <c r="O38" s="46"/>
    </row>
    <row r="39" spans="2:15" x14ac:dyDescent="0.2">
      <c r="B39" s="46"/>
      <c r="C39" s="46"/>
      <c r="D39" s="46"/>
      <c r="E39" s="46"/>
      <c r="F39" s="46"/>
      <c r="G39" s="46"/>
      <c r="H39" s="46"/>
      <c r="I39" s="46"/>
      <c r="J39" s="46"/>
      <c r="K39" s="46"/>
      <c r="L39" s="46"/>
      <c r="M39" s="46"/>
      <c r="N39" s="46"/>
      <c r="O39" s="46"/>
    </row>
    <row r="40" spans="2:15" x14ac:dyDescent="0.2">
      <c r="B40" s="46"/>
      <c r="C40" s="46"/>
      <c r="D40" s="46"/>
      <c r="E40" s="46"/>
      <c r="F40" s="46"/>
      <c r="G40" s="46"/>
      <c r="H40" s="46"/>
      <c r="I40" s="46"/>
      <c r="J40" s="46"/>
      <c r="K40" s="46"/>
      <c r="L40" s="46"/>
      <c r="M40" s="46"/>
      <c r="N40" s="46"/>
      <c r="O40" s="46"/>
    </row>
    <row r="41" spans="2:15" x14ac:dyDescent="0.2">
      <c r="B41" s="46"/>
      <c r="C41" s="46"/>
      <c r="D41" s="46"/>
      <c r="E41" s="46"/>
      <c r="F41" s="46"/>
      <c r="G41" s="46"/>
      <c r="H41" s="46"/>
      <c r="I41" s="46"/>
      <c r="J41" s="46"/>
      <c r="K41" s="46"/>
      <c r="L41" s="46"/>
      <c r="M41" s="46"/>
      <c r="N41" s="46"/>
      <c r="O41" s="46"/>
    </row>
    <row r="42" spans="2:15" x14ac:dyDescent="0.2">
      <c r="B42" s="46"/>
      <c r="C42" s="46"/>
      <c r="D42" s="46"/>
      <c r="E42" s="46"/>
      <c r="F42" s="46"/>
      <c r="G42" s="46"/>
      <c r="H42" s="46"/>
      <c r="I42" s="46"/>
      <c r="J42" s="46"/>
      <c r="K42" s="46"/>
      <c r="L42" s="46"/>
      <c r="M42" s="46"/>
      <c r="N42" s="46"/>
      <c r="O42" s="46"/>
    </row>
    <row r="43" spans="2:15" x14ac:dyDescent="0.2">
      <c r="B43" s="46"/>
      <c r="C43" s="46"/>
      <c r="D43" s="46"/>
      <c r="E43" s="46"/>
      <c r="F43" s="46"/>
      <c r="G43" s="46"/>
      <c r="H43" s="46"/>
      <c r="I43" s="46"/>
      <c r="J43" s="46"/>
      <c r="K43" s="46"/>
      <c r="L43" s="46"/>
      <c r="M43" s="46"/>
      <c r="N43" s="46"/>
      <c r="O43" s="46"/>
    </row>
    <row r="44" spans="2:15" x14ac:dyDescent="0.2">
      <c r="B44" s="46"/>
      <c r="C44" s="46"/>
      <c r="D44" s="46"/>
      <c r="E44" s="46"/>
      <c r="F44" s="46"/>
      <c r="G44" s="46"/>
      <c r="H44" s="46"/>
      <c r="I44" s="46"/>
      <c r="J44" s="46"/>
      <c r="K44" s="46"/>
      <c r="L44" s="46"/>
      <c r="M44" s="46"/>
      <c r="N44" s="46"/>
      <c r="O44" s="46"/>
    </row>
    <row r="45" spans="2:15" x14ac:dyDescent="0.2">
      <c r="B45" s="46"/>
      <c r="C45" s="46"/>
      <c r="D45" s="46"/>
      <c r="E45" s="46"/>
      <c r="F45" s="46"/>
      <c r="G45" s="46"/>
      <c r="H45" s="46"/>
      <c r="I45" s="46"/>
      <c r="J45" s="46"/>
      <c r="K45" s="46"/>
      <c r="L45" s="46"/>
      <c r="M45" s="46"/>
      <c r="N45" s="46"/>
      <c r="O45" s="46"/>
    </row>
    <row r="46" spans="2:15" x14ac:dyDescent="0.2">
      <c r="B46" s="46"/>
      <c r="C46" s="46"/>
      <c r="D46" s="46"/>
      <c r="E46" s="46"/>
      <c r="F46" s="46"/>
      <c r="G46" s="46"/>
      <c r="H46" s="46"/>
      <c r="I46" s="46"/>
      <c r="J46" s="46"/>
      <c r="K46" s="46"/>
      <c r="L46" s="46"/>
      <c r="M46" s="46"/>
      <c r="N46" s="46"/>
      <c r="O46" s="46"/>
    </row>
    <row r="47" spans="2:15" x14ac:dyDescent="0.2">
      <c r="B47" s="46"/>
      <c r="C47" s="46"/>
      <c r="D47" s="46"/>
      <c r="E47" s="46"/>
      <c r="F47" s="46"/>
      <c r="G47" s="46"/>
      <c r="H47" s="46"/>
      <c r="I47" s="46"/>
      <c r="J47" s="46"/>
      <c r="K47" s="46"/>
      <c r="L47" s="46"/>
      <c r="M47" s="46"/>
      <c r="N47" s="46"/>
      <c r="O47" s="46"/>
    </row>
    <row r="48" spans="2:15" x14ac:dyDescent="0.2">
      <c r="B48" s="46"/>
      <c r="C48" s="46"/>
      <c r="D48" s="46"/>
      <c r="E48" s="46"/>
      <c r="F48" s="46"/>
      <c r="G48" s="46"/>
      <c r="H48" s="46"/>
      <c r="I48" s="46"/>
      <c r="J48" s="46"/>
      <c r="K48" s="46"/>
      <c r="L48" s="46"/>
      <c r="M48" s="46"/>
      <c r="N48" s="46"/>
      <c r="O48" s="46"/>
    </row>
    <row r="49" spans="2:15" x14ac:dyDescent="0.2">
      <c r="B49" s="46"/>
      <c r="C49" s="46"/>
      <c r="D49" s="46"/>
      <c r="E49" s="46"/>
      <c r="F49" s="46"/>
      <c r="G49" s="46"/>
      <c r="H49" s="46"/>
      <c r="I49" s="46"/>
      <c r="J49" s="46"/>
      <c r="K49" s="46"/>
      <c r="L49" s="46"/>
      <c r="M49" s="46"/>
      <c r="N49" s="46"/>
      <c r="O49" s="46"/>
    </row>
    <row r="50" spans="2:15" x14ac:dyDescent="0.2">
      <c r="B50" s="46"/>
      <c r="C50" s="46"/>
      <c r="D50" s="46"/>
      <c r="E50" s="46"/>
      <c r="F50" s="46"/>
      <c r="G50" s="46"/>
      <c r="H50" s="46"/>
      <c r="I50" s="46"/>
      <c r="J50" s="46"/>
      <c r="K50" s="46"/>
      <c r="L50" s="46"/>
      <c r="M50" s="46"/>
      <c r="N50" s="46"/>
      <c r="O50" s="46"/>
    </row>
    <row r="51" spans="2:15" x14ac:dyDescent="0.2">
      <c r="B51" s="46"/>
      <c r="C51" s="46"/>
      <c r="D51" s="46"/>
      <c r="E51" s="46"/>
      <c r="F51" s="46"/>
      <c r="G51" s="46"/>
      <c r="H51" s="46"/>
      <c r="I51" s="46"/>
      <c r="J51" s="46"/>
      <c r="K51" s="46"/>
      <c r="L51" s="46"/>
      <c r="M51" s="46"/>
      <c r="N51" s="46"/>
      <c r="O51" s="46"/>
    </row>
    <row r="52" spans="2:15" x14ac:dyDescent="0.2">
      <c r="B52" s="46"/>
      <c r="C52" s="46"/>
      <c r="D52" s="46"/>
      <c r="E52" s="46"/>
      <c r="F52" s="46"/>
      <c r="G52" s="46"/>
      <c r="H52" s="46"/>
      <c r="I52" s="46"/>
      <c r="J52" s="46"/>
      <c r="K52" s="46"/>
      <c r="L52" s="46"/>
      <c r="M52" s="46"/>
      <c r="N52" s="46"/>
      <c r="O52" s="46"/>
    </row>
    <row r="53" spans="2:15" x14ac:dyDescent="0.2">
      <c r="B53" s="46"/>
      <c r="C53" s="46"/>
      <c r="D53" s="46"/>
      <c r="E53" s="46"/>
      <c r="F53" s="46"/>
      <c r="G53" s="46"/>
      <c r="H53" s="46"/>
      <c r="I53" s="46"/>
      <c r="J53" s="46"/>
      <c r="K53" s="46"/>
      <c r="L53" s="46"/>
      <c r="M53" s="46"/>
      <c r="N53" s="46"/>
      <c r="O53" s="46"/>
    </row>
    <row r="54" spans="2:15" x14ac:dyDescent="0.2">
      <c r="B54" s="46"/>
      <c r="C54" s="46"/>
      <c r="D54" s="46"/>
      <c r="E54" s="46"/>
      <c r="F54" s="46"/>
      <c r="G54" s="46"/>
      <c r="H54" s="46"/>
      <c r="I54" s="46"/>
      <c r="J54" s="46"/>
      <c r="K54" s="46"/>
      <c r="L54" s="46"/>
      <c r="M54" s="46"/>
      <c r="N54" s="46"/>
      <c r="O54" s="46"/>
    </row>
    <row r="55" spans="2:15" x14ac:dyDescent="0.2">
      <c r="B55" s="46"/>
      <c r="C55" s="46"/>
      <c r="D55" s="46"/>
      <c r="E55" s="46"/>
      <c r="F55" s="46"/>
      <c r="G55" s="46"/>
      <c r="H55" s="46"/>
      <c r="I55" s="46"/>
      <c r="J55" s="46"/>
      <c r="K55" s="46"/>
      <c r="L55" s="46"/>
      <c r="M55" s="46"/>
      <c r="N55" s="46"/>
      <c r="O55" s="46"/>
    </row>
    <row r="56" spans="2:15" x14ac:dyDescent="0.2">
      <c r="B56" s="46"/>
      <c r="C56" s="46"/>
      <c r="D56" s="46"/>
      <c r="E56" s="46"/>
      <c r="F56" s="46"/>
      <c r="G56" s="46"/>
      <c r="H56" s="46"/>
      <c r="I56" s="46"/>
      <c r="J56" s="46"/>
      <c r="K56" s="46"/>
      <c r="L56" s="46"/>
      <c r="M56" s="46"/>
      <c r="N56" s="46"/>
      <c r="O56" s="46"/>
    </row>
    <row r="57" spans="2:15" x14ac:dyDescent="0.2">
      <c r="B57" s="46"/>
      <c r="C57" s="46"/>
      <c r="D57" s="46"/>
      <c r="E57" s="46"/>
      <c r="F57" s="46"/>
      <c r="G57" s="46"/>
      <c r="H57" s="46"/>
      <c r="I57" s="46"/>
      <c r="J57" s="46"/>
      <c r="K57" s="46"/>
      <c r="L57" s="46"/>
      <c r="M57" s="46"/>
      <c r="N57" s="46"/>
      <c r="O57" s="46"/>
    </row>
    <row r="58" spans="2:15" x14ac:dyDescent="0.2">
      <c r="B58" s="46"/>
      <c r="C58" s="46"/>
      <c r="D58" s="46"/>
      <c r="E58" s="46"/>
      <c r="F58" s="46"/>
      <c r="G58" s="46"/>
      <c r="H58" s="46"/>
      <c r="I58" s="46"/>
      <c r="J58" s="46"/>
      <c r="K58" s="46"/>
      <c r="L58" s="46"/>
      <c r="M58" s="46"/>
      <c r="N58" s="46"/>
      <c r="O58" s="46"/>
    </row>
    <row r="59" spans="2:15" x14ac:dyDescent="0.2">
      <c r="B59" s="46"/>
      <c r="C59" s="46"/>
      <c r="D59" s="46"/>
      <c r="E59" s="46"/>
      <c r="F59" s="46"/>
      <c r="G59" s="46"/>
      <c r="H59" s="46"/>
      <c r="I59" s="46"/>
      <c r="J59" s="46"/>
      <c r="K59" s="46"/>
      <c r="L59" s="46"/>
      <c r="M59" s="46"/>
      <c r="N59" s="46"/>
      <c r="O59" s="46"/>
    </row>
    <row r="60" spans="2:15" x14ac:dyDescent="0.2">
      <c r="B60" s="46"/>
      <c r="C60" s="46"/>
      <c r="D60" s="46"/>
      <c r="E60" s="46"/>
      <c r="F60" s="46"/>
      <c r="G60" s="46"/>
      <c r="H60" s="46"/>
      <c r="I60" s="46"/>
      <c r="J60" s="46"/>
      <c r="K60" s="46"/>
      <c r="L60" s="46"/>
      <c r="M60" s="46"/>
      <c r="N60" s="46"/>
      <c r="O60" s="46"/>
    </row>
    <row r="61" spans="2:15" x14ac:dyDescent="0.2">
      <c r="B61" s="46"/>
      <c r="C61" s="46"/>
      <c r="D61" s="46"/>
      <c r="E61" s="46"/>
      <c r="F61" s="46"/>
      <c r="G61" s="46"/>
      <c r="H61" s="46"/>
      <c r="I61" s="46"/>
      <c r="J61" s="46"/>
      <c r="K61" s="46"/>
      <c r="L61" s="46"/>
      <c r="M61" s="46"/>
      <c r="N61" s="46"/>
      <c r="O61" s="46"/>
    </row>
    <row r="62" spans="2:15" x14ac:dyDescent="0.2">
      <c r="B62" s="46"/>
      <c r="C62" s="46"/>
      <c r="D62" s="46"/>
      <c r="E62" s="46"/>
      <c r="F62" s="46"/>
      <c r="G62" s="46"/>
      <c r="H62" s="46"/>
      <c r="I62" s="46"/>
      <c r="J62" s="46"/>
      <c r="K62" s="46"/>
      <c r="L62" s="46"/>
      <c r="M62" s="46"/>
      <c r="N62" s="46"/>
      <c r="O62" s="46"/>
    </row>
    <row r="63" spans="2:15" x14ac:dyDescent="0.2">
      <c r="B63" s="46"/>
      <c r="C63" s="46"/>
      <c r="D63" s="46"/>
      <c r="E63" s="46"/>
      <c r="F63" s="46"/>
      <c r="G63" s="46"/>
      <c r="H63" s="46"/>
      <c r="I63" s="46"/>
      <c r="J63" s="46"/>
      <c r="K63" s="46"/>
      <c r="L63" s="46"/>
      <c r="M63" s="46"/>
      <c r="N63" s="46"/>
      <c r="O63" s="46"/>
    </row>
    <row r="64" spans="2:15" x14ac:dyDescent="0.2">
      <c r="B64" s="46"/>
      <c r="C64" s="46"/>
      <c r="D64" s="46"/>
      <c r="E64" s="46"/>
      <c r="F64" s="46"/>
      <c r="G64" s="46"/>
      <c r="H64" s="46"/>
      <c r="I64" s="46"/>
      <c r="J64" s="46"/>
      <c r="K64" s="46"/>
      <c r="L64" s="46"/>
      <c r="M64" s="46"/>
      <c r="N64" s="46"/>
      <c r="O64" s="46"/>
    </row>
    <row r="65" spans="2:15" x14ac:dyDescent="0.2">
      <c r="B65" s="46"/>
      <c r="C65" s="46"/>
      <c r="D65" s="46"/>
      <c r="E65" s="46"/>
      <c r="F65" s="46"/>
      <c r="G65" s="46"/>
      <c r="H65" s="46"/>
      <c r="I65" s="46"/>
      <c r="J65" s="46"/>
      <c r="K65" s="46"/>
      <c r="L65" s="46"/>
      <c r="M65" s="46"/>
      <c r="N65" s="46"/>
      <c r="O65" s="46"/>
    </row>
    <row r="66" spans="2:15" x14ac:dyDescent="0.2">
      <c r="B66" s="46"/>
      <c r="C66" s="46"/>
      <c r="D66" s="46"/>
      <c r="E66" s="46"/>
      <c r="F66" s="46"/>
      <c r="G66" s="46"/>
      <c r="H66" s="46"/>
      <c r="I66" s="46"/>
      <c r="J66" s="46"/>
      <c r="K66" s="46"/>
      <c r="L66" s="46"/>
      <c r="M66" s="46"/>
      <c r="N66" s="46"/>
      <c r="O66" s="46"/>
    </row>
    <row r="67" spans="2:15" x14ac:dyDescent="0.2">
      <c r="B67" s="46"/>
      <c r="C67" s="46"/>
      <c r="D67" s="46"/>
      <c r="E67" s="46"/>
      <c r="F67" s="46"/>
      <c r="G67" s="46"/>
      <c r="H67" s="46"/>
      <c r="I67" s="46"/>
      <c r="J67" s="46"/>
      <c r="K67" s="46"/>
      <c r="L67" s="46"/>
      <c r="M67" s="46"/>
      <c r="N67" s="46"/>
      <c r="O67" s="46"/>
    </row>
    <row r="68" spans="2:15" x14ac:dyDescent="0.2">
      <c r="B68" s="46"/>
      <c r="C68" s="46"/>
      <c r="D68" s="46"/>
      <c r="E68" s="46"/>
      <c r="F68" s="46"/>
      <c r="G68" s="46"/>
      <c r="H68" s="46"/>
      <c r="I68" s="46"/>
      <c r="J68" s="46"/>
      <c r="K68" s="46"/>
      <c r="L68" s="46"/>
      <c r="M68" s="46"/>
      <c r="N68" s="46"/>
      <c r="O68" s="46"/>
    </row>
    <row r="69" spans="2:15" x14ac:dyDescent="0.2">
      <c r="B69" s="46"/>
      <c r="C69" s="46"/>
      <c r="D69" s="46"/>
      <c r="E69" s="46"/>
      <c r="F69" s="46"/>
      <c r="G69" s="46"/>
      <c r="H69" s="46"/>
      <c r="I69" s="46"/>
      <c r="J69" s="46"/>
      <c r="K69" s="46"/>
      <c r="L69" s="46"/>
      <c r="M69" s="46"/>
      <c r="N69" s="46"/>
      <c r="O69" s="46"/>
    </row>
    <row r="70" spans="2:15" x14ac:dyDescent="0.2">
      <c r="B70" s="46"/>
      <c r="C70" s="46"/>
      <c r="D70" s="46"/>
      <c r="E70" s="46"/>
      <c r="F70" s="46"/>
      <c r="G70" s="46"/>
      <c r="H70" s="46"/>
      <c r="I70" s="46"/>
      <c r="J70" s="46"/>
      <c r="K70" s="46"/>
      <c r="L70" s="46"/>
      <c r="M70" s="46"/>
      <c r="N70" s="46"/>
      <c r="O70" s="46"/>
    </row>
    <row r="71" spans="2:15" x14ac:dyDescent="0.2">
      <c r="B71" s="46"/>
      <c r="C71" s="46"/>
      <c r="D71" s="46"/>
      <c r="E71" s="46"/>
      <c r="F71" s="46"/>
      <c r="G71" s="46"/>
      <c r="H71" s="46"/>
      <c r="I71" s="46"/>
      <c r="J71" s="46"/>
      <c r="K71" s="46"/>
      <c r="L71" s="46"/>
      <c r="M71" s="46"/>
      <c r="N71" s="46"/>
      <c r="O71" s="46"/>
    </row>
    <row r="72" spans="2:15" x14ac:dyDescent="0.2">
      <c r="B72" s="46"/>
      <c r="C72" s="46"/>
      <c r="D72" s="46"/>
      <c r="E72" s="46"/>
      <c r="F72" s="46"/>
      <c r="G72" s="46"/>
      <c r="H72" s="46"/>
      <c r="I72" s="46"/>
      <c r="J72" s="46"/>
      <c r="K72" s="46"/>
      <c r="L72" s="46"/>
      <c r="M72" s="46"/>
      <c r="N72" s="46"/>
      <c r="O72" s="46"/>
    </row>
    <row r="73" spans="2:15" x14ac:dyDescent="0.2">
      <c r="B73" s="46"/>
      <c r="C73" s="46"/>
      <c r="D73" s="46"/>
      <c r="E73" s="46"/>
      <c r="F73" s="46"/>
      <c r="G73" s="46"/>
      <c r="H73" s="46"/>
      <c r="I73" s="46"/>
      <c r="J73" s="46"/>
      <c r="K73" s="46"/>
      <c r="L73" s="46"/>
      <c r="M73" s="46"/>
      <c r="N73" s="46"/>
      <c r="O73" s="46"/>
    </row>
    <row r="74" spans="2:15" x14ac:dyDescent="0.2">
      <c r="B74" s="46"/>
      <c r="C74" s="46"/>
      <c r="D74" s="46"/>
      <c r="E74" s="46"/>
      <c r="F74" s="46"/>
      <c r="G74" s="46"/>
      <c r="H74" s="46"/>
      <c r="I74" s="46"/>
      <c r="J74" s="46"/>
      <c r="K74" s="46"/>
      <c r="L74" s="46"/>
      <c r="M74" s="46"/>
      <c r="N74" s="46"/>
      <c r="O74" s="46"/>
    </row>
    <row r="75" spans="2:15" x14ac:dyDescent="0.2">
      <c r="B75" s="46"/>
      <c r="C75" s="46"/>
      <c r="D75" s="46"/>
      <c r="E75" s="46"/>
      <c r="F75" s="46"/>
      <c r="G75" s="46"/>
      <c r="H75" s="46"/>
      <c r="I75" s="46"/>
      <c r="J75" s="46"/>
      <c r="K75" s="46"/>
      <c r="L75" s="46"/>
      <c r="M75" s="46"/>
      <c r="N75" s="46"/>
      <c r="O75" s="46"/>
    </row>
    <row r="76" spans="2:15" x14ac:dyDescent="0.2">
      <c r="B76" s="46"/>
      <c r="C76" s="46"/>
      <c r="D76" s="46"/>
      <c r="E76" s="46"/>
      <c r="F76" s="46"/>
      <c r="G76" s="46"/>
      <c r="H76" s="46"/>
      <c r="I76" s="46"/>
      <c r="J76" s="46"/>
      <c r="K76" s="46"/>
      <c r="L76" s="46"/>
      <c r="M76" s="46"/>
      <c r="N76" s="46"/>
      <c r="O76" s="46"/>
    </row>
    <row r="77" spans="2:15" x14ac:dyDescent="0.2">
      <c r="B77" s="46"/>
      <c r="C77" s="46"/>
      <c r="D77" s="46"/>
      <c r="E77" s="46"/>
      <c r="F77" s="46"/>
      <c r="G77" s="46"/>
      <c r="H77" s="46"/>
      <c r="I77" s="46"/>
      <c r="J77" s="46"/>
      <c r="K77" s="46"/>
      <c r="L77" s="46"/>
      <c r="M77" s="46"/>
      <c r="N77" s="46"/>
      <c r="O77" s="46"/>
    </row>
    <row r="78" spans="2:15" x14ac:dyDescent="0.2">
      <c r="B78" s="46"/>
      <c r="C78" s="46"/>
      <c r="D78" s="46"/>
      <c r="E78" s="46"/>
      <c r="F78" s="46"/>
      <c r="G78" s="46"/>
      <c r="H78" s="46"/>
      <c r="I78" s="46"/>
      <c r="J78" s="46"/>
      <c r="K78" s="46"/>
      <c r="L78" s="46"/>
      <c r="M78" s="46"/>
      <c r="N78" s="46"/>
      <c r="O78" s="46"/>
    </row>
    <row r="79" spans="2:15" x14ac:dyDescent="0.2">
      <c r="B79" s="46"/>
      <c r="C79" s="46"/>
      <c r="D79" s="46"/>
      <c r="E79" s="46"/>
      <c r="F79" s="46"/>
      <c r="G79" s="46"/>
      <c r="H79" s="46"/>
      <c r="I79" s="46"/>
      <c r="J79" s="46"/>
      <c r="K79" s="46"/>
      <c r="L79" s="46"/>
      <c r="M79" s="46"/>
      <c r="N79" s="46"/>
      <c r="O79" s="46"/>
    </row>
    <row r="80" spans="2:15" x14ac:dyDescent="0.2">
      <c r="B80" s="46"/>
      <c r="C80" s="46"/>
      <c r="D80" s="46"/>
      <c r="E80" s="46"/>
      <c r="F80" s="46"/>
      <c r="G80" s="46"/>
      <c r="H80" s="46"/>
      <c r="I80" s="46"/>
      <c r="J80" s="46"/>
      <c r="K80" s="46"/>
      <c r="L80" s="46"/>
      <c r="M80" s="46"/>
      <c r="N80" s="46"/>
      <c r="O80" s="46"/>
    </row>
    <row r="81" spans="2:15" x14ac:dyDescent="0.2">
      <c r="B81" s="46"/>
      <c r="C81" s="46"/>
      <c r="D81" s="46"/>
      <c r="E81" s="46"/>
      <c r="F81" s="46"/>
      <c r="G81" s="46"/>
      <c r="H81" s="46"/>
      <c r="I81" s="46"/>
      <c r="J81" s="46"/>
      <c r="K81" s="46"/>
      <c r="L81" s="46"/>
      <c r="M81" s="46"/>
      <c r="N81" s="46"/>
      <c r="O81" s="46"/>
    </row>
    <row r="82" spans="2:15" x14ac:dyDescent="0.2">
      <c r="B82" s="46"/>
      <c r="C82" s="46"/>
      <c r="D82" s="46"/>
      <c r="E82" s="46"/>
      <c r="F82" s="46"/>
      <c r="G82" s="46"/>
      <c r="H82" s="46"/>
      <c r="I82" s="46"/>
      <c r="J82" s="46"/>
      <c r="K82" s="46"/>
      <c r="L82" s="46"/>
      <c r="M82" s="46"/>
      <c r="N82" s="46"/>
      <c r="O82" s="46"/>
    </row>
    <row r="83" spans="2:15" x14ac:dyDescent="0.2">
      <c r="B83" s="46"/>
      <c r="C83" s="46"/>
      <c r="D83" s="46"/>
      <c r="E83" s="46"/>
      <c r="F83" s="46"/>
      <c r="G83" s="46"/>
      <c r="H83" s="46"/>
      <c r="I83" s="46"/>
      <c r="J83" s="46"/>
      <c r="K83" s="46"/>
      <c r="L83" s="46"/>
      <c r="M83" s="46"/>
      <c r="N83" s="46"/>
      <c r="O83" s="46"/>
    </row>
    <row r="84" spans="2:15" x14ac:dyDescent="0.2">
      <c r="B84" s="46"/>
      <c r="C84" s="46"/>
      <c r="D84" s="46"/>
      <c r="E84" s="46"/>
      <c r="F84" s="46"/>
      <c r="G84" s="46"/>
      <c r="H84" s="46"/>
      <c r="I84" s="46"/>
      <c r="J84" s="46"/>
      <c r="K84" s="46"/>
      <c r="L84" s="46"/>
      <c r="M84" s="46"/>
      <c r="N84" s="46"/>
      <c r="O84" s="46"/>
    </row>
    <row r="85" spans="2:15" x14ac:dyDescent="0.2">
      <c r="B85" s="46"/>
      <c r="C85" s="46"/>
      <c r="D85" s="46"/>
      <c r="E85" s="46"/>
      <c r="F85" s="46"/>
      <c r="G85" s="46"/>
      <c r="H85" s="46"/>
      <c r="I85" s="46"/>
      <c r="J85" s="46"/>
      <c r="K85" s="46"/>
      <c r="L85" s="46"/>
      <c r="M85" s="46"/>
      <c r="N85" s="46"/>
      <c r="O85" s="46"/>
    </row>
    <row r="86" spans="2:15" x14ac:dyDescent="0.2">
      <c r="B86" s="46"/>
      <c r="C86" s="46"/>
      <c r="D86" s="46"/>
      <c r="E86" s="46"/>
      <c r="F86" s="46"/>
      <c r="G86" s="46"/>
      <c r="H86" s="46"/>
      <c r="I86" s="46"/>
      <c r="J86" s="46"/>
      <c r="K86" s="46"/>
      <c r="L86" s="46"/>
      <c r="M86" s="46"/>
      <c r="N86" s="46"/>
      <c r="O86" s="46"/>
    </row>
    <row r="87" spans="2:15" x14ac:dyDescent="0.2">
      <c r="B87" s="46"/>
      <c r="C87" s="46"/>
      <c r="D87" s="46"/>
      <c r="E87" s="46"/>
      <c r="F87" s="46"/>
      <c r="G87" s="46"/>
      <c r="H87" s="46"/>
      <c r="I87" s="46"/>
      <c r="J87" s="46"/>
      <c r="K87" s="46"/>
      <c r="L87" s="46"/>
      <c r="M87" s="46"/>
      <c r="N87" s="46"/>
      <c r="O87" s="46"/>
    </row>
    <row r="88" spans="2:15" x14ac:dyDescent="0.2">
      <c r="B88" s="46"/>
      <c r="C88" s="46"/>
      <c r="D88" s="46"/>
      <c r="E88" s="46"/>
      <c r="F88" s="46"/>
      <c r="G88" s="46"/>
      <c r="H88" s="46"/>
      <c r="I88" s="46"/>
      <c r="J88" s="46"/>
      <c r="K88" s="46"/>
      <c r="L88" s="46"/>
      <c r="M88" s="46"/>
      <c r="N88" s="46"/>
      <c r="O88" s="46"/>
    </row>
    <row r="89" spans="2:15" x14ac:dyDescent="0.2">
      <c r="B89" s="46"/>
      <c r="C89" s="46"/>
      <c r="D89" s="46"/>
      <c r="E89" s="46"/>
      <c r="F89" s="46"/>
      <c r="G89" s="46"/>
      <c r="H89" s="46"/>
      <c r="I89" s="46"/>
      <c r="J89" s="46"/>
      <c r="K89" s="46"/>
      <c r="L89" s="46"/>
      <c r="M89" s="46"/>
      <c r="N89" s="46"/>
      <c r="O89" s="46"/>
    </row>
    <row r="90" spans="2:15" x14ac:dyDescent="0.2">
      <c r="B90" s="46"/>
      <c r="C90" s="46"/>
      <c r="D90" s="46"/>
      <c r="E90" s="46"/>
      <c r="F90" s="46"/>
      <c r="G90" s="46"/>
      <c r="H90" s="46"/>
      <c r="I90" s="46"/>
      <c r="J90" s="46"/>
      <c r="K90" s="46"/>
      <c r="L90" s="46"/>
      <c r="M90" s="46"/>
      <c r="N90" s="46"/>
      <c r="O90" s="46"/>
    </row>
    <row r="91" spans="2:15" x14ac:dyDescent="0.2">
      <c r="B91" s="46"/>
      <c r="C91" s="46"/>
      <c r="D91" s="46"/>
      <c r="E91" s="46"/>
      <c r="F91" s="46"/>
      <c r="G91" s="46"/>
      <c r="H91" s="46"/>
      <c r="I91" s="46"/>
      <c r="J91" s="46"/>
      <c r="K91" s="46"/>
      <c r="L91" s="46"/>
      <c r="M91" s="46"/>
      <c r="N91" s="46"/>
      <c r="O91" s="46"/>
    </row>
    <row r="92" spans="2:15" x14ac:dyDescent="0.2">
      <c r="B92" s="46"/>
      <c r="C92" s="46"/>
      <c r="D92" s="46"/>
      <c r="E92" s="46"/>
      <c r="F92" s="46"/>
      <c r="G92" s="46"/>
      <c r="H92" s="46"/>
      <c r="I92" s="46"/>
      <c r="J92" s="46"/>
      <c r="K92" s="46"/>
      <c r="L92" s="46"/>
      <c r="M92" s="46"/>
      <c r="N92" s="46"/>
      <c r="O92" s="46"/>
    </row>
    <row r="93" spans="2:15" x14ac:dyDescent="0.2">
      <c r="B93" s="46"/>
      <c r="C93" s="46"/>
      <c r="D93" s="46"/>
      <c r="E93" s="46"/>
      <c r="F93" s="46"/>
      <c r="G93" s="46"/>
      <c r="H93" s="46"/>
      <c r="I93" s="46"/>
      <c r="J93" s="46"/>
      <c r="K93" s="46"/>
      <c r="L93" s="46"/>
      <c r="M93" s="46"/>
      <c r="N93" s="46"/>
      <c r="O93" s="46"/>
    </row>
    <row r="94" spans="2:15" x14ac:dyDescent="0.2">
      <c r="B94" s="46"/>
      <c r="C94" s="46"/>
      <c r="D94" s="46"/>
      <c r="E94" s="46"/>
      <c r="F94" s="46"/>
      <c r="G94" s="46"/>
      <c r="H94" s="46"/>
      <c r="I94" s="46"/>
      <c r="J94" s="46"/>
      <c r="K94" s="46"/>
      <c r="L94" s="46"/>
      <c r="M94" s="46"/>
      <c r="N94" s="46"/>
      <c r="O94" s="46"/>
    </row>
    <row r="95" spans="2:15" x14ac:dyDescent="0.2">
      <c r="B95" s="46"/>
      <c r="C95" s="46"/>
      <c r="D95" s="46"/>
      <c r="E95" s="46"/>
      <c r="F95" s="46"/>
      <c r="G95" s="46"/>
      <c r="H95" s="46"/>
      <c r="I95" s="46"/>
      <c r="J95" s="46"/>
      <c r="K95" s="46"/>
      <c r="L95" s="46"/>
      <c r="M95" s="46"/>
      <c r="N95" s="46"/>
      <c r="O95" s="46"/>
    </row>
    <row r="96" spans="2:15" x14ac:dyDescent="0.2">
      <c r="B96" s="46"/>
      <c r="C96" s="46"/>
      <c r="D96" s="46"/>
      <c r="E96" s="46"/>
      <c r="F96" s="46"/>
      <c r="G96" s="46"/>
      <c r="H96" s="46"/>
      <c r="I96" s="46"/>
      <c r="J96" s="46"/>
      <c r="K96" s="46"/>
      <c r="L96" s="46"/>
      <c r="M96" s="46"/>
      <c r="N96" s="46"/>
      <c r="O96" s="46"/>
    </row>
    <row r="97" spans="2:15" x14ac:dyDescent="0.2">
      <c r="B97" s="46"/>
      <c r="C97" s="46"/>
      <c r="D97" s="46"/>
      <c r="E97" s="46"/>
      <c r="F97" s="46"/>
      <c r="G97" s="46"/>
      <c r="H97" s="46"/>
      <c r="I97" s="46"/>
      <c r="J97" s="46"/>
      <c r="K97" s="46"/>
      <c r="L97" s="46"/>
      <c r="M97" s="46"/>
      <c r="N97" s="46"/>
      <c r="O97" s="46"/>
    </row>
    <row r="98" spans="2:15" x14ac:dyDescent="0.2">
      <c r="B98" s="46"/>
      <c r="C98" s="46"/>
      <c r="D98" s="46"/>
      <c r="E98" s="46"/>
      <c r="F98" s="46"/>
      <c r="G98" s="46"/>
      <c r="H98" s="46"/>
      <c r="I98" s="46"/>
      <c r="J98" s="46"/>
      <c r="K98" s="46"/>
      <c r="L98" s="46"/>
      <c r="M98" s="46"/>
      <c r="N98" s="46"/>
      <c r="O98" s="46"/>
    </row>
    <row r="99" spans="2:15" x14ac:dyDescent="0.2">
      <c r="B99" s="46"/>
      <c r="C99" s="46"/>
      <c r="D99" s="46"/>
      <c r="E99" s="46"/>
      <c r="F99" s="46"/>
      <c r="G99" s="46"/>
      <c r="H99" s="46"/>
      <c r="I99" s="46"/>
      <c r="J99" s="46"/>
      <c r="K99" s="46"/>
      <c r="L99" s="46"/>
      <c r="M99" s="46"/>
      <c r="N99" s="46"/>
      <c r="O99" s="46"/>
    </row>
    <row r="100" spans="2:15" x14ac:dyDescent="0.2">
      <c r="B100" s="46"/>
      <c r="C100" s="46"/>
      <c r="D100" s="46"/>
      <c r="E100" s="46"/>
      <c r="F100" s="46"/>
      <c r="G100" s="46"/>
      <c r="H100" s="46"/>
      <c r="I100" s="46"/>
      <c r="J100" s="46"/>
      <c r="K100" s="46"/>
      <c r="L100" s="46"/>
      <c r="M100" s="46"/>
      <c r="N100" s="46"/>
      <c r="O100" s="46"/>
    </row>
    <row r="101" spans="2:15" x14ac:dyDescent="0.2">
      <c r="B101" s="46"/>
      <c r="C101" s="46"/>
      <c r="D101" s="46"/>
      <c r="E101" s="46"/>
      <c r="F101" s="46"/>
      <c r="G101" s="46"/>
      <c r="H101" s="46"/>
      <c r="I101" s="46"/>
      <c r="J101" s="46"/>
      <c r="K101" s="46"/>
      <c r="L101" s="46"/>
      <c r="M101" s="46"/>
      <c r="N101" s="46"/>
      <c r="O101" s="46"/>
    </row>
    <row r="102" spans="2:15" x14ac:dyDescent="0.2">
      <c r="B102" s="46"/>
      <c r="C102" s="46"/>
      <c r="D102" s="46"/>
      <c r="E102" s="46"/>
      <c r="F102" s="46"/>
      <c r="G102" s="46"/>
      <c r="H102" s="46"/>
      <c r="I102" s="46"/>
      <c r="J102" s="46"/>
      <c r="K102" s="46"/>
      <c r="L102" s="46"/>
      <c r="M102" s="46"/>
      <c r="N102" s="46"/>
      <c r="O102" s="46"/>
    </row>
    <row r="103" spans="2:15" x14ac:dyDescent="0.2">
      <c r="B103" s="46"/>
      <c r="C103" s="46"/>
      <c r="D103" s="46"/>
      <c r="E103" s="46"/>
      <c r="F103" s="46"/>
      <c r="G103" s="46"/>
      <c r="H103" s="46"/>
      <c r="I103" s="46"/>
      <c r="J103" s="46"/>
      <c r="K103" s="46"/>
      <c r="L103" s="46"/>
      <c r="M103" s="46"/>
      <c r="N103" s="46"/>
      <c r="O103" s="46"/>
    </row>
    <row r="104" spans="2:15" x14ac:dyDescent="0.2">
      <c r="B104" s="46"/>
      <c r="C104" s="46"/>
      <c r="D104" s="46"/>
      <c r="E104" s="46"/>
      <c r="F104" s="46"/>
      <c r="G104" s="46"/>
      <c r="H104" s="46"/>
      <c r="I104" s="46"/>
      <c r="J104" s="46"/>
      <c r="K104" s="46"/>
      <c r="L104" s="46"/>
      <c r="M104" s="46"/>
      <c r="N104" s="46"/>
      <c r="O104" s="46"/>
    </row>
    <row r="105" spans="2:15" x14ac:dyDescent="0.2">
      <c r="B105" s="46"/>
      <c r="C105" s="46"/>
      <c r="D105" s="46"/>
      <c r="E105" s="46"/>
      <c r="F105" s="46"/>
      <c r="G105" s="46"/>
      <c r="H105" s="46"/>
      <c r="I105" s="46"/>
      <c r="J105" s="46"/>
      <c r="K105" s="46"/>
      <c r="L105" s="46"/>
      <c r="M105" s="46"/>
      <c r="N105" s="46"/>
      <c r="O105" s="46"/>
    </row>
    <row r="106" spans="2:15" x14ac:dyDescent="0.2">
      <c r="B106" s="46"/>
      <c r="C106" s="46"/>
      <c r="D106" s="46"/>
      <c r="E106" s="46"/>
      <c r="F106" s="46"/>
      <c r="G106" s="46"/>
      <c r="H106" s="46"/>
      <c r="I106" s="46"/>
      <c r="J106" s="46"/>
      <c r="K106" s="46"/>
      <c r="L106" s="46"/>
      <c r="M106" s="46"/>
      <c r="N106" s="46"/>
      <c r="O106" s="46"/>
    </row>
    <row r="107" spans="2:15" x14ac:dyDescent="0.2">
      <c r="B107" s="46"/>
      <c r="C107" s="46"/>
      <c r="D107" s="46"/>
      <c r="E107" s="46"/>
      <c r="F107" s="46"/>
      <c r="G107" s="46"/>
      <c r="H107" s="46"/>
      <c r="I107" s="46"/>
      <c r="J107" s="46"/>
      <c r="K107" s="46"/>
      <c r="L107" s="46"/>
      <c r="M107" s="46"/>
      <c r="N107" s="46"/>
      <c r="O107" s="46"/>
    </row>
    <row r="108" spans="2:15" x14ac:dyDescent="0.2">
      <c r="B108" s="46"/>
      <c r="C108" s="46"/>
      <c r="D108" s="46"/>
      <c r="E108" s="46"/>
      <c r="F108" s="46"/>
      <c r="G108" s="46"/>
      <c r="H108" s="46"/>
      <c r="I108" s="46"/>
      <c r="J108" s="46"/>
      <c r="K108" s="46"/>
      <c r="L108" s="46"/>
      <c r="M108" s="46"/>
      <c r="N108" s="46"/>
      <c r="O108" s="46"/>
    </row>
    <row r="109" spans="2:15" x14ac:dyDescent="0.2">
      <c r="B109" s="46"/>
      <c r="C109" s="46"/>
      <c r="D109" s="46"/>
      <c r="E109" s="46"/>
      <c r="F109" s="46"/>
      <c r="G109" s="46"/>
      <c r="H109" s="46"/>
      <c r="I109" s="46"/>
      <c r="J109" s="46"/>
      <c r="K109" s="46"/>
      <c r="L109" s="46"/>
      <c r="M109" s="46"/>
      <c r="N109" s="46"/>
      <c r="O109" s="46"/>
    </row>
    <row r="110" spans="2:15" x14ac:dyDescent="0.2">
      <c r="B110" s="46"/>
      <c r="C110" s="46"/>
      <c r="D110" s="46"/>
      <c r="E110" s="46"/>
      <c r="F110" s="46"/>
      <c r="G110" s="46"/>
      <c r="H110" s="46"/>
      <c r="I110" s="46"/>
      <c r="J110" s="46"/>
      <c r="K110" s="46"/>
      <c r="L110" s="46"/>
      <c r="M110" s="46"/>
      <c r="N110" s="46"/>
      <c r="O110" s="46"/>
    </row>
    <row r="111" spans="2:15" x14ac:dyDescent="0.2">
      <c r="B111" s="46"/>
      <c r="C111" s="46"/>
      <c r="D111" s="46"/>
      <c r="E111" s="46"/>
      <c r="F111" s="46"/>
      <c r="G111" s="46"/>
      <c r="H111" s="46"/>
      <c r="I111" s="46"/>
      <c r="J111" s="46"/>
      <c r="K111" s="46"/>
      <c r="L111" s="46"/>
      <c r="M111" s="46"/>
      <c r="N111" s="46"/>
      <c r="O111" s="46"/>
    </row>
    <row r="112" spans="2:15" x14ac:dyDescent="0.2">
      <c r="B112" s="46"/>
      <c r="C112" s="46"/>
      <c r="D112" s="46"/>
      <c r="E112" s="46"/>
      <c r="F112" s="46"/>
      <c r="G112" s="46"/>
      <c r="H112" s="46"/>
      <c r="I112" s="46"/>
      <c r="J112" s="46"/>
      <c r="K112" s="46"/>
      <c r="L112" s="46"/>
      <c r="M112" s="46"/>
      <c r="N112" s="46"/>
      <c r="O112" s="46"/>
    </row>
    <row r="113" spans="2:15" x14ac:dyDescent="0.2">
      <c r="B113" s="46"/>
      <c r="C113" s="46"/>
      <c r="D113" s="46"/>
      <c r="E113" s="46"/>
      <c r="F113" s="46"/>
      <c r="G113" s="46"/>
      <c r="H113" s="46"/>
      <c r="I113" s="46"/>
      <c r="J113" s="46"/>
      <c r="K113" s="46"/>
      <c r="L113" s="46"/>
      <c r="M113" s="46"/>
      <c r="N113" s="46"/>
      <c r="O113" s="46"/>
    </row>
    <row r="114" spans="2:15" x14ac:dyDescent="0.2">
      <c r="B114" s="46"/>
      <c r="C114" s="46"/>
      <c r="D114" s="46"/>
      <c r="E114" s="46"/>
      <c r="F114" s="46"/>
      <c r="G114" s="46"/>
      <c r="H114" s="46"/>
      <c r="I114" s="46"/>
      <c r="J114" s="46"/>
      <c r="K114" s="46"/>
      <c r="L114" s="46"/>
      <c r="M114" s="46"/>
      <c r="N114" s="46"/>
      <c r="O114" s="46"/>
    </row>
    <row r="115" spans="2:15" x14ac:dyDescent="0.2">
      <c r="B115" s="46"/>
      <c r="C115" s="46"/>
      <c r="D115" s="46"/>
      <c r="E115" s="46"/>
      <c r="F115" s="46"/>
      <c r="G115" s="46"/>
      <c r="H115" s="46"/>
      <c r="I115" s="46"/>
      <c r="J115" s="46"/>
      <c r="K115" s="46"/>
      <c r="L115" s="46"/>
      <c r="M115" s="46"/>
      <c r="N115" s="46"/>
      <c r="O115" s="46"/>
    </row>
    <row r="116" spans="2:15" x14ac:dyDescent="0.2">
      <c r="B116" s="46"/>
      <c r="C116" s="46"/>
      <c r="D116" s="46"/>
      <c r="E116" s="46"/>
      <c r="F116" s="46"/>
      <c r="G116" s="46"/>
      <c r="H116" s="46"/>
      <c r="I116" s="46"/>
      <c r="J116" s="46"/>
      <c r="K116" s="46"/>
      <c r="L116" s="46"/>
      <c r="M116" s="46"/>
      <c r="N116" s="46"/>
      <c r="O116" s="46"/>
    </row>
    <row r="117" spans="2:15" x14ac:dyDescent="0.2">
      <c r="B117" s="46"/>
      <c r="C117" s="46"/>
      <c r="D117" s="46"/>
      <c r="E117" s="46"/>
      <c r="F117" s="46"/>
      <c r="G117" s="46"/>
      <c r="H117" s="46"/>
      <c r="I117" s="46"/>
      <c r="J117" s="46"/>
      <c r="K117" s="46"/>
      <c r="L117" s="46"/>
      <c r="M117" s="46"/>
      <c r="N117" s="46"/>
      <c r="O117" s="46"/>
    </row>
    <row r="118" spans="2:15" x14ac:dyDescent="0.2">
      <c r="B118" s="46"/>
      <c r="C118" s="46"/>
      <c r="D118" s="46"/>
      <c r="E118" s="46"/>
      <c r="F118" s="46"/>
      <c r="G118" s="46"/>
      <c r="H118" s="46"/>
      <c r="I118" s="46"/>
      <c r="J118" s="46"/>
      <c r="K118" s="46"/>
      <c r="L118" s="46"/>
      <c r="M118" s="46"/>
      <c r="N118" s="46"/>
      <c r="O118" s="46"/>
    </row>
    <row r="119" spans="2:15" x14ac:dyDescent="0.2">
      <c r="B119" s="46"/>
      <c r="C119" s="46"/>
      <c r="D119" s="46"/>
      <c r="E119" s="46"/>
      <c r="F119" s="46"/>
      <c r="G119" s="46"/>
      <c r="H119" s="46"/>
      <c r="I119" s="46"/>
      <c r="J119" s="46"/>
      <c r="K119" s="46"/>
      <c r="L119" s="46"/>
      <c r="M119" s="46"/>
      <c r="N119" s="46"/>
      <c r="O119" s="46"/>
    </row>
    <row r="120" spans="2:15" x14ac:dyDescent="0.2">
      <c r="B120" s="46"/>
      <c r="C120" s="46"/>
      <c r="D120" s="46"/>
      <c r="E120" s="46"/>
      <c r="F120" s="46"/>
      <c r="G120" s="46"/>
      <c r="H120" s="46"/>
      <c r="I120" s="46"/>
      <c r="J120" s="46"/>
      <c r="K120" s="46"/>
      <c r="L120" s="46"/>
      <c r="M120" s="46"/>
      <c r="N120" s="46"/>
      <c r="O120" s="46"/>
    </row>
    <row r="121" spans="2:15" x14ac:dyDescent="0.2">
      <c r="B121" s="46"/>
      <c r="C121" s="46"/>
      <c r="D121" s="46"/>
      <c r="E121" s="46"/>
      <c r="F121" s="46"/>
      <c r="G121" s="46"/>
      <c r="H121" s="46"/>
      <c r="I121" s="46"/>
      <c r="J121" s="46"/>
      <c r="K121" s="46"/>
      <c r="L121" s="46"/>
      <c r="M121" s="46"/>
      <c r="N121" s="46"/>
      <c r="O121" s="46"/>
    </row>
    <row r="122" spans="2:15" x14ac:dyDescent="0.2">
      <c r="B122" s="46"/>
      <c r="C122" s="46"/>
      <c r="D122" s="46"/>
      <c r="E122" s="46"/>
      <c r="F122" s="46"/>
      <c r="G122" s="46"/>
      <c r="H122" s="46"/>
      <c r="I122" s="46"/>
      <c r="J122" s="46"/>
      <c r="K122" s="46"/>
      <c r="L122" s="46"/>
      <c r="M122" s="46"/>
      <c r="N122" s="46"/>
      <c r="O122" s="46"/>
    </row>
    <row r="123" spans="2:15" x14ac:dyDescent="0.2">
      <c r="B123" s="46"/>
      <c r="C123" s="46"/>
      <c r="D123" s="46"/>
      <c r="E123" s="46"/>
      <c r="F123" s="46"/>
      <c r="G123" s="46"/>
      <c r="H123" s="46"/>
      <c r="I123" s="46"/>
      <c r="J123" s="46"/>
      <c r="K123" s="46"/>
      <c r="L123" s="46"/>
      <c r="M123" s="46"/>
      <c r="N123" s="46"/>
      <c r="O123" s="46"/>
    </row>
    <row r="124" spans="2:15" x14ac:dyDescent="0.2">
      <c r="B124" s="46"/>
      <c r="C124" s="46"/>
      <c r="D124" s="46"/>
      <c r="E124" s="46"/>
      <c r="F124" s="46"/>
      <c r="G124" s="46"/>
      <c r="H124" s="46"/>
      <c r="I124" s="46"/>
      <c r="J124" s="46"/>
      <c r="K124" s="46"/>
      <c r="L124" s="46"/>
      <c r="M124" s="46"/>
      <c r="N124" s="46"/>
      <c r="O124" s="46"/>
    </row>
    <row r="125" spans="2:15" x14ac:dyDescent="0.2">
      <c r="B125" s="46"/>
      <c r="C125" s="46"/>
      <c r="D125" s="46"/>
      <c r="E125" s="46"/>
      <c r="F125" s="46"/>
      <c r="G125" s="46"/>
      <c r="H125" s="46"/>
      <c r="I125" s="46"/>
      <c r="J125" s="46"/>
      <c r="K125" s="46"/>
      <c r="L125" s="46"/>
      <c r="M125" s="46"/>
      <c r="N125" s="46"/>
      <c r="O125" s="46"/>
    </row>
    <row r="126" spans="2:15" x14ac:dyDescent="0.2">
      <c r="B126" s="46"/>
      <c r="C126" s="46"/>
      <c r="D126" s="46"/>
      <c r="E126" s="46"/>
      <c r="F126" s="46"/>
      <c r="G126" s="46"/>
      <c r="H126" s="46"/>
      <c r="I126" s="46"/>
      <c r="J126" s="46"/>
      <c r="K126" s="46"/>
      <c r="L126" s="46"/>
      <c r="M126" s="46"/>
      <c r="N126" s="46"/>
      <c r="O126" s="46"/>
    </row>
    <row r="127" spans="2:15" x14ac:dyDescent="0.2">
      <c r="B127" s="46"/>
      <c r="C127" s="46"/>
      <c r="D127" s="46"/>
      <c r="E127" s="46"/>
      <c r="F127" s="46"/>
      <c r="G127" s="46"/>
      <c r="H127" s="46"/>
      <c r="I127" s="46"/>
      <c r="J127" s="46"/>
      <c r="K127" s="46"/>
      <c r="L127" s="46"/>
      <c r="M127" s="46"/>
      <c r="N127" s="46"/>
      <c r="O127" s="46"/>
    </row>
    <row r="128" spans="2:15" x14ac:dyDescent="0.2">
      <c r="B128" s="46"/>
      <c r="C128" s="46"/>
      <c r="D128" s="46"/>
      <c r="E128" s="46"/>
      <c r="F128" s="46"/>
      <c r="G128" s="46"/>
      <c r="H128" s="46"/>
      <c r="I128" s="46"/>
      <c r="J128" s="46"/>
      <c r="K128" s="46"/>
      <c r="L128" s="46"/>
      <c r="M128" s="46"/>
      <c r="N128" s="46"/>
      <c r="O128" s="46"/>
    </row>
    <row r="129" spans="2:15" x14ac:dyDescent="0.2">
      <c r="B129" s="46"/>
      <c r="C129" s="46"/>
      <c r="D129" s="46"/>
      <c r="E129" s="46"/>
      <c r="F129" s="46"/>
      <c r="G129" s="46"/>
      <c r="H129" s="46"/>
      <c r="I129" s="46"/>
      <c r="J129" s="46"/>
      <c r="K129" s="46"/>
      <c r="L129" s="46"/>
      <c r="M129" s="46"/>
      <c r="N129" s="46"/>
      <c r="O129" s="46"/>
    </row>
    <row r="130" spans="2:15" x14ac:dyDescent="0.2">
      <c r="B130" s="46"/>
      <c r="C130" s="46"/>
      <c r="D130" s="46"/>
      <c r="E130" s="46"/>
      <c r="F130" s="46"/>
      <c r="G130" s="46"/>
      <c r="H130" s="46"/>
      <c r="I130" s="46"/>
      <c r="J130" s="46"/>
      <c r="K130" s="46"/>
      <c r="L130" s="46"/>
      <c r="M130" s="46"/>
      <c r="N130" s="46"/>
      <c r="O130" s="46"/>
    </row>
    <row r="131" spans="2:15" x14ac:dyDescent="0.2">
      <c r="B131" s="46"/>
      <c r="C131" s="46"/>
      <c r="D131" s="46"/>
      <c r="E131" s="46"/>
      <c r="F131" s="46"/>
      <c r="G131" s="46"/>
      <c r="H131" s="46"/>
      <c r="I131" s="46"/>
      <c r="J131" s="46"/>
      <c r="K131" s="46"/>
      <c r="L131" s="46"/>
      <c r="M131" s="46"/>
      <c r="N131" s="46"/>
      <c r="O131" s="46"/>
    </row>
    <row r="132" spans="2:15" x14ac:dyDescent="0.2">
      <c r="B132" s="46"/>
      <c r="C132" s="46"/>
      <c r="D132" s="46"/>
      <c r="E132" s="46"/>
      <c r="F132" s="46"/>
      <c r="G132" s="46"/>
      <c r="H132" s="46"/>
      <c r="I132" s="46"/>
      <c r="J132" s="46"/>
      <c r="K132" s="46"/>
      <c r="L132" s="46"/>
      <c r="M132" s="46"/>
      <c r="N132" s="46"/>
      <c r="O132" s="46"/>
    </row>
    <row r="133" spans="2:15" x14ac:dyDescent="0.2">
      <c r="B133" s="46"/>
      <c r="C133" s="46"/>
      <c r="D133" s="46"/>
      <c r="E133" s="46"/>
      <c r="F133" s="46"/>
      <c r="G133" s="46"/>
      <c r="H133" s="46"/>
      <c r="I133" s="46"/>
      <c r="J133" s="46"/>
      <c r="K133" s="46"/>
      <c r="L133" s="46"/>
      <c r="M133" s="46"/>
      <c r="N133" s="46"/>
      <c r="O133" s="46"/>
    </row>
    <row r="134" spans="2:15" x14ac:dyDescent="0.2">
      <c r="B134" s="46"/>
      <c r="C134" s="46"/>
      <c r="D134" s="46"/>
      <c r="E134" s="46"/>
      <c r="F134" s="46"/>
      <c r="G134" s="46"/>
      <c r="H134" s="46"/>
      <c r="I134" s="46"/>
      <c r="J134" s="46"/>
      <c r="K134" s="46"/>
      <c r="L134" s="46"/>
      <c r="M134" s="46"/>
      <c r="N134" s="46"/>
      <c r="O134" s="46"/>
    </row>
    <row r="135" spans="2:15" x14ac:dyDescent="0.2">
      <c r="B135" s="46"/>
      <c r="C135" s="46"/>
      <c r="D135" s="46"/>
      <c r="E135" s="46"/>
      <c r="F135" s="46"/>
      <c r="G135" s="46"/>
      <c r="H135" s="46"/>
      <c r="I135" s="46"/>
      <c r="J135" s="46"/>
      <c r="K135" s="46"/>
      <c r="L135" s="46"/>
      <c r="M135" s="46"/>
      <c r="N135" s="46"/>
      <c r="O135" s="46"/>
    </row>
    <row r="136" spans="2:15" x14ac:dyDescent="0.2">
      <c r="B136" s="46"/>
      <c r="C136" s="46"/>
      <c r="D136" s="46"/>
      <c r="E136" s="46"/>
      <c r="F136" s="46"/>
      <c r="G136" s="46"/>
      <c r="H136" s="46"/>
      <c r="I136" s="46"/>
      <c r="J136" s="46"/>
      <c r="K136" s="46"/>
      <c r="L136" s="46"/>
      <c r="M136" s="46"/>
      <c r="N136" s="46"/>
      <c r="O136" s="46"/>
    </row>
    <row r="137" spans="2:15" x14ac:dyDescent="0.2">
      <c r="B137" s="46"/>
      <c r="C137" s="46"/>
      <c r="D137" s="46"/>
      <c r="E137" s="46"/>
      <c r="F137" s="46"/>
      <c r="G137" s="46"/>
      <c r="H137" s="46"/>
      <c r="I137" s="46"/>
      <c r="J137" s="46"/>
      <c r="K137" s="46"/>
      <c r="L137" s="46"/>
      <c r="M137" s="46"/>
      <c r="N137" s="46"/>
      <c r="O137" s="46"/>
    </row>
    <row r="138" spans="2:15" x14ac:dyDescent="0.2">
      <c r="B138" s="46"/>
      <c r="C138" s="46"/>
      <c r="D138" s="46"/>
      <c r="E138" s="46"/>
      <c r="F138" s="46"/>
      <c r="G138" s="46"/>
      <c r="H138" s="46"/>
      <c r="I138" s="46"/>
      <c r="J138" s="46"/>
      <c r="K138" s="46"/>
      <c r="L138" s="46"/>
      <c r="M138" s="46"/>
      <c r="N138" s="46"/>
      <c r="O138" s="46"/>
    </row>
    <row r="139" spans="2:15" x14ac:dyDescent="0.2">
      <c r="B139" s="46"/>
      <c r="C139" s="46"/>
      <c r="D139" s="46"/>
      <c r="E139" s="46"/>
      <c r="F139" s="46"/>
      <c r="G139" s="46"/>
      <c r="H139" s="46"/>
      <c r="I139" s="46"/>
      <c r="J139" s="46"/>
      <c r="K139" s="46"/>
      <c r="L139" s="46"/>
      <c r="M139" s="46"/>
      <c r="N139" s="46"/>
      <c r="O139" s="46"/>
    </row>
    <row r="140" spans="2:15" x14ac:dyDescent="0.2">
      <c r="B140" s="46"/>
      <c r="C140" s="46"/>
      <c r="D140" s="46"/>
      <c r="E140" s="46"/>
      <c r="F140" s="46"/>
      <c r="G140" s="46"/>
      <c r="H140" s="46"/>
      <c r="I140" s="46"/>
      <c r="J140" s="46"/>
      <c r="K140" s="46"/>
      <c r="L140" s="46"/>
      <c r="M140" s="46"/>
      <c r="N140" s="46"/>
      <c r="O140" s="46"/>
    </row>
    <row r="141" spans="2:15" x14ac:dyDescent="0.2">
      <c r="B141" s="46"/>
      <c r="C141" s="46"/>
      <c r="D141" s="46"/>
      <c r="E141" s="46"/>
      <c r="F141" s="46"/>
      <c r="G141" s="46"/>
      <c r="H141" s="46"/>
      <c r="I141" s="46"/>
      <c r="J141" s="46"/>
      <c r="K141" s="46"/>
      <c r="L141" s="46"/>
      <c r="M141" s="46"/>
      <c r="N141" s="46"/>
      <c r="O141" s="46"/>
    </row>
    <row r="142" spans="2:15" x14ac:dyDescent="0.2">
      <c r="B142" s="46"/>
      <c r="C142" s="46"/>
      <c r="D142" s="46"/>
      <c r="E142" s="46"/>
      <c r="F142" s="46"/>
      <c r="G142" s="46"/>
      <c r="H142" s="46"/>
      <c r="I142" s="46"/>
      <c r="J142" s="46"/>
      <c r="K142" s="46"/>
      <c r="L142" s="46"/>
      <c r="M142" s="46"/>
      <c r="N142" s="46"/>
      <c r="O142" s="46"/>
    </row>
    <row r="143" spans="2:15" x14ac:dyDescent="0.2">
      <c r="B143" s="46"/>
      <c r="C143" s="46"/>
      <c r="D143" s="46"/>
      <c r="E143" s="46"/>
      <c r="F143" s="46"/>
      <c r="G143" s="46"/>
      <c r="H143" s="46"/>
      <c r="I143" s="46"/>
      <c r="J143" s="46"/>
      <c r="K143" s="46"/>
      <c r="L143" s="46"/>
      <c r="M143" s="46"/>
      <c r="N143" s="46"/>
      <c r="O143" s="46"/>
    </row>
    <row r="144" spans="2:15" x14ac:dyDescent="0.2">
      <c r="B144" s="46"/>
      <c r="C144" s="46"/>
      <c r="D144" s="46"/>
      <c r="E144" s="46"/>
      <c r="F144" s="46"/>
      <c r="G144" s="46"/>
      <c r="H144" s="46"/>
      <c r="I144" s="46"/>
      <c r="J144" s="46"/>
      <c r="K144" s="46"/>
      <c r="L144" s="46"/>
      <c r="M144" s="46"/>
      <c r="N144" s="46"/>
      <c r="O144" s="46"/>
    </row>
    <row r="145" spans="2:15" x14ac:dyDescent="0.2">
      <c r="B145" s="46"/>
      <c r="C145" s="46"/>
      <c r="D145" s="46"/>
      <c r="E145" s="46"/>
      <c r="F145" s="46"/>
      <c r="G145" s="46"/>
      <c r="H145" s="46"/>
      <c r="I145" s="46"/>
      <c r="J145" s="46"/>
      <c r="K145" s="46"/>
      <c r="L145" s="46"/>
      <c r="M145" s="46"/>
      <c r="N145" s="46"/>
      <c r="O145" s="46"/>
    </row>
    <row r="146" spans="2:15" x14ac:dyDescent="0.2">
      <c r="B146" s="46"/>
      <c r="C146" s="46"/>
      <c r="D146" s="46"/>
      <c r="E146" s="46"/>
      <c r="F146" s="46"/>
      <c r="G146" s="46"/>
      <c r="H146" s="46"/>
      <c r="I146" s="46"/>
      <c r="J146" s="46"/>
      <c r="K146" s="46"/>
      <c r="L146" s="46"/>
      <c r="M146" s="46"/>
      <c r="N146" s="46"/>
      <c r="O146" s="46"/>
    </row>
    <row r="147" spans="2:15" x14ac:dyDescent="0.2">
      <c r="B147" s="46"/>
      <c r="C147" s="46"/>
      <c r="D147" s="46"/>
      <c r="E147" s="46"/>
      <c r="F147" s="46"/>
      <c r="G147" s="46"/>
      <c r="H147" s="46"/>
      <c r="I147" s="46"/>
      <c r="J147" s="46"/>
      <c r="K147" s="46"/>
      <c r="L147" s="46"/>
      <c r="M147" s="46"/>
      <c r="N147" s="46"/>
      <c r="O147" s="46"/>
    </row>
    <row r="148" spans="2:15" x14ac:dyDescent="0.2">
      <c r="B148" s="46"/>
      <c r="C148" s="46"/>
      <c r="D148" s="46"/>
      <c r="E148" s="46"/>
      <c r="F148" s="46"/>
      <c r="G148" s="46"/>
      <c r="H148" s="46"/>
      <c r="I148" s="46"/>
      <c r="J148" s="46"/>
      <c r="K148" s="46"/>
      <c r="L148" s="46"/>
      <c r="M148" s="46"/>
      <c r="N148" s="46"/>
      <c r="O148" s="46"/>
    </row>
    <row r="149" spans="2:15" x14ac:dyDescent="0.2">
      <c r="B149" s="46"/>
      <c r="C149" s="46"/>
      <c r="D149" s="46"/>
      <c r="E149" s="46"/>
      <c r="F149" s="46"/>
      <c r="G149" s="46"/>
      <c r="H149" s="46"/>
      <c r="I149" s="46"/>
      <c r="J149" s="46"/>
      <c r="K149" s="46"/>
      <c r="L149" s="46"/>
      <c r="M149" s="46"/>
      <c r="N149" s="46"/>
      <c r="O149" s="46"/>
    </row>
    <row r="150" spans="2:15" x14ac:dyDescent="0.2">
      <c r="B150" s="46"/>
      <c r="C150" s="46"/>
      <c r="D150" s="46"/>
      <c r="E150" s="46"/>
      <c r="F150" s="46"/>
      <c r="G150" s="46"/>
      <c r="H150" s="46"/>
      <c r="I150" s="46"/>
      <c r="J150" s="46"/>
      <c r="K150" s="46"/>
      <c r="L150" s="46"/>
      <c r="M150" s="46"/>
      <c r="N150" s="46"/>
      <c r="O150" s="46"/>
    </row>
    <row r="151" spans="2:15" x14ac:dyDescent="0.2">
      <c r="B151" s="46"/>
      <c r="C151" s="46"/>
      <c r="D151" s="46"/>
      <c r="E151" s="46"/>
      <c r="F151" s="46"/>
      <c r="G151" s="46"/>
      <c r="H151" s="46"/>
      <c r="I151" s="46"/>
      <c r="J151" s="46"/>
      <c r="K151" s="46"/>
      <c r="L151" s="46"/>
      <c r="M151" s="46"/>
      <c r="N151" s="46"/>
      <c r="O151" s="46"/>
    </row>
    <row r="152" spans="2:15" x14ac:dyDescent="0.2">
      <c r="B152" s="46"/>
      <c r="C152" s="46"/>
      <c r="D152" s="46"/>
      <c r="E152" s="46"/>
      <c r="F152" s="46"/>
      <c r="G152" s="46"/>
      <c r="H152" s="46"/>
      <c r="I152" s="46"/>
      <c r="J152" s="46"/>
      <c r="K152" s="46"/>
      <c r="L152" s="46"/>
      <c r="M152" s="46"/>
      <c r="N152" s="46"/>
      <c r="O152" s="46"/>
    </row>
    <row r="153" spans="2:15" x14ac:dyDescent="0.2">
      <c r="B153" s="46"/>
      <c r="C153" s="46"/>
      <c r="D153" s="46"/>
      <c r="E153" s="46"/>
      <c r="F153" s="46"/>
      <c r="G153" s="46"/>
      <c r="H153" s="46"/>
      <c r="I153" s="46"/>
      <c r="J153" s="46"/>
      <c r="K153" s="46"/>
      <c r="L153" s="46"/>
      <c r="M153" s="46"/>
      <c r="N153" s="46"/>
      <c r="O153" s="46"/>
    </row>
    <row r="154" spans="2:15" x14ac:dyDescent="0.2">
      <c r="B154" s="46"/>
      <c r="C154" s="46"/>
      <c r="D154" s="46"/>
      <c r="E154" s="46"/>
      <c r="F154" s="46"/>
      <c r="G154" s="46"/>
      <c r="H154" s="46"/>
      <c r="I154" s="46"/>
      <c r="J154" s="46"/>
      <c r="K154" s="46"/>
      <c r="L154" s="46"/>
      <c r="M154" s="46"/>
      <c r="N154" s="46"/>
      <c r="O154" s="46"/>
    </row>
    <row r="155" spans="2:15" x14ac:dyDescent="0.2">
      <c r="B155" s="46"/>
      <c r="C155" s="46"/>
      <c r="D155" s="46"/>
      <c r="E155" s="46"/>
      <c r="F155" s="46"/>
      <c r="G155" s="46"/>
      <c r="H155" s="46"/>
      <c r="I155" s="46"/>
      <c r="J155" s="46"/>
      <c r="K155" s="46"/>
      <c r="L155" s="46"/>
      <c r="M155" s="46"/>
      <c r="N155" s="46"/>
      <c r="O155" s="46"/>
    </row>
    <row r="156" spans="2:15" x14ac:dyDescent="0.2">
      <c r="B156" s="46"/>
      <c r="C156" s="46"/>
      <c r="D156" s="46"/>
      <c r="E156" s="46"/>
      <c r="F156" s="46"/>
      <c r="G156" s="46"/>
      <c r="H156" s="46"/>
      <c r="I156" s="46"/>
      <c r="J156" s="46"/>
      <c r="K156" s="46"/>
      <c r="L156" s="46"/>
      <c r="M156" s="46"/>
      <c r="N156" s="46"/>
      <c r="O156" s="46"/>
    </row>
    <row r="157" spans="2:15" x14ac:dyDescent="0.2">
      <c r="B157" s="46"/>
      <c r="C157" s="46"/>
      <c r="D157" s="46"/>
      <c r="E157" s="46"/>
      <c r="F157" s="46"/>
      <c r="G157" s="46"/>
      <c r="H157" s="46"/>
      <c r="I157" s="46"/>
      <c r="J157" s="46"/>
      <c r="K157" s="46"/>
      <c r="L157" s="46"/>
      <c r="M157" s="46"/>
      <c r="N157" s="46"/>
      <c r="O157" s="46"/>
    </row>
    <row r="158" spans="2:15" x14ac:dyDescent="0.2">
      <c r="B158" s="46"/>
      <c r="C158" s="46"/>
      <c r="D158" s="46"/>
      <c r="E158" s="46"/>
      <c r="F158" s="46"/>
      <c r="G158" s="46"/>
      <c r="H158" s="46"/>
      <c r="I158" s="46"/>
      <c r="J158" s="46"/>
      <c r="K158" s="46"/>
      <c r="L158" s="46"/>
      <c r="M158" s="46"/>
      <c r="N158" s="46"/>
      <c r="O158" s="46"/>
    </row>
    <row r="159" spans="2:15" x14ac:dyDescent="0.2">
      <c r="B159" s="46"/>
      <c r="C159" s="46"/>
      <c r="D159" s="46"/>
      <c r="E159" s="46"/>
      <c r="F159" s="46"/>
      <c r="G159" s="46"/>
      <c r="H159" s="46"/>
      <c r="I159" s="46"/>
      <c r="J159" s="46"/>
      <c r="K159" s="46"/>
      <c r="L159" s="46"/>
      <c r="M159" s="46"/>
      <c r="N159" s="46"/>
      <c r="O159" s="46"/>
    </row>
    <row r="160" spans="2:15" x14ac:dyDescent="0.2">
      <c r="B160" s="46"/>
      <c r="C160" s="46"/>
      <c r="D160" s="46"/>
      <c r="E160" s="46"/>
      <c r="F160" s="46"/>
      <c r="G160" s="46"/>
      <c r="H160" s="46"/>
      <c r="I160" s="46"/>
      <c r="J160" s="46"/>
      <c r="K160" s="46"/>
      <c r="L160" s="46"/>
      <c r="M160" s="46"/>
      <c r="N160" s="46"/>
      <c r="O160" s="46"/>
    </row>
    <row r="161" spans="2:15" x14ac:dyDescent="0.2">
      <c r="B161" s="46"/>
      <c r="C161" s="46"/>
      <c r="D161" s="46"/>
      <c r="E161" s="46"/>
      <c r="F161" s="46"/>
      <c r="G161" s="46"/>
      <c r="H161" s="46"/>
      <c r="I161" s="46"/>
      <c r="J161" s="46"/>
      <c r="K161" s="46"/>
      <c r="L161" s="46"/>
      <c r="M161" s="46"/>
      <c r="N161" s="46"/>
      <c r="O161" s="46"/>
    </row>
    <row r="162" spans="2:15" x14ac:dyDescent="0.2">
      <c r="B162" s="46"/>
      <c r="C162" s="46"/>
      <c r="D162" s="46"/>
      <c r="E162" s="46"/>
      <c r="F162" s="46"/>
      <c r="G162" s="46"/>
      <c r="H162" s="46"/>
      <c r="I162" s="46"/>
      <c r="J162" s="46"/>
      <c r="K162" s="46"/>
      <c r="L162" s="46"/>
      <c r="M162" s="46"/>
      <c r="N162" s="46"/>
      <c r="O162" s="46"/>
    </row>
    <row r="163" spans="2:15" x14ac:dyDescent="0.2">
      <c r="B163" s="46"/>
      <c r="C163" s="46"/>
      <c r="D163" s="46"/>
      <c r="E163" s="46"/>
      <c r="F163" s="46"/>
      <c r="G163" s="46"/>
      <c r="H163" s="46"/>
      <c r="I163" s="46"/>
      <c r="J163" s="46"/>
      <c r="K163" s="46"/>
      <c r="L163" s="46"/>
      <c r="M163" s="46"/>
      <c r="N163" s="46"/>
      <c r="O163" s="46"/>
    </row>
    <row r="164" spans="2:15" x14ac:dyDescent="0.2">
      <c r="B164" s="46"/>
      <c r="C164" s="46"/>
      <c r="D164" s="46"/>
      <c r="E164" s="46"/>
      <c r="F164" s="46"/>
      <c r="G164" s="46"/>
      <c r="H164" s="46"/>
      <c r="I164" s="46"/>
      <c r="J164" s="46"/>
      <c r="K164" s="46"/>
      <c r="L164" s="46"/>
      <c r="M164" s="46"/>
      <c r="N164" s="46"/>
      <c r="O164" s="46"/>
    </row>
    <row r="165" spans="2:15" x14ac:dyDescent="0.2">
      <c r="B165" s="46"/>
      <c r="C165" s="46"/>
      <c r="D165" s="46"/>
      <c r="E165" s="46"/>
      <c r="F165" s="46"/>
      <c r="G165" s="46"/>
      <c r="H165" s="46"/>
      <c r="I165" s="46"/>
      <c r="J165" s="46"/>
      <c r="K165" s="46"/>
      <c r="L165" s="46"/>
      <c r="M165" s="46"/>
      <c r="N165" s="46"/>
      <c r="O165" s="46"/>
    </row>
    <row r="166" spans="2:15" x14ac:dyDescent="0.2">
      <c r="B166" s="46"/>
      <c r="C166" s="46"/>
      <c r="D166" s="46"/>
      <c r="E166" s="46"/>
      <c r="F166" s="46"/>
      <c r="G166" s="46"/>
      <c r="H166" s="46"/>
      <c r="I166" s="46"/>
      <c r="J166" s="46"/>
      <c r="K166" s="46"/>
      <c r="L166" s="46"/>
      <c r="M166" s="46"/>
      <c r="N166" s="46"/>
      <c r="O166" s="46"/>
    </row>
    <row r="167" spans="2:15" x14ac:dyDescent="0.2">
      <c r="B167" s="46"/>
      <c r="C167" s="46"/>
      <c r="D167" s="46"/>
      <c r="E167" s="46"/>
      <c r="F167" s="46"/>
      <c r="G167" s="46"/>
      <c r="H167" s="46"/>
      <c r="I167" s="46"/>
      <c r="J167" s="46"/>
      <c r="K167" s="46"/>
      <c r="L167" s="46"/>
      <c r="M167" s="46"/>
      <c r="N167" s="46"/>
      <c r="O167" s="46"/>
    </row>
    <row r="168" spans="2:15" x14ac:dyDescent="0.2">
      <c r="B168" s="46"/>
      <c r="C168" s="46"/>
      <c r="D168" s="46"/>
      <c r="E168" s="46"/>
      <c r="F168" s="46"/>
      <c r="G168" s="46"/>
      <c r="H168" s="46"/>
      <c r="I168" s="46"/>
      <c r="J168" s="46"/>
      <c r="K168" s="46"/>
      <c r="L168" s="46"/>
      <c r="M168" s="46"/>
      <c r="N168" s="46"/>
      <c r="O168" s="46"/>
    </row>
    <row r="169" spans="2:15" x14ac:dyDescent="0.2">
      <c r="B169" s="46"/>
      <c r="C169" s="46"/>
      <c r="D169" s="46"/>
      <c r="E169" s="46"/>
      <c r="F169" s="46"/>
      <c r="G169" s="46"/>
      <c r="H169" s="46"/>
      <c r="I169" s="46"/>
      <c r="J169" s="46"/>
      <c r="K169" s="46"/>
      <c r="L169" s="46"/>
      <c r="M169" s="46"/>
      <c r="N169" s="46"/>
      <c r="O169" s="46"/>
    </row>
    <row r="170" spans="2:15" x14ac:dyDescent="0.2">
      <c r="B170" s="46"/>
      <c r="C170" s="46"/>
      <c r="D170" s="46"/>
      <c r="E170" s="46"/>
      <c r="F170" s="46"/>
      <c r="G170" s="46"/>
      <c r="H170" s="46"/>
      <c r="I170" s="46"/>
      <c r="J170" s="46"/>
      <c r="K170" s="46"/>
      <c r="L170" s="46"/>
      <c r="M170" s="46"/>
      <c r="N170" s="46"/>
      <c r="O170" s="46"/>
    </row>
    <row r="171" spans="2:15" x14ac:dyDescent="0.2">
      <c r="B171" s="46"/>
      <c r="C171" s="46"/>
      <c r="D171" s="46"/>
      <c r="E171" s="46"/>
      <c r="F171" s="46"/>
      <c r="G171" s="46"/>
      <c r="H171" s="46"/>
      <c r="I171" s="46"/>
      <c r="J171" s="46"/>
      <c r="K171" s="46"/>
      <c r="L171" s="46"/>
      <c r="M171" s="46"/>
      <c r="N171" s="46"/>
      <c r="O171" s="46"/>
    </row>
    <row r="172" spans="2:15" x14ac:dyDescent="0.2">
      <c r="B172" s="46"/>
      <c r="C172" s="46"/>
      <c r="D172" s="46"/>
      <c r="E172" s="46"/>
      <c r="F172" s="46"/>
      <c r="G172" s="46"/>
      <c r="H172" s="46"/>
      <c r="I172" s="46"/>
      <c r="J172" s="46"/>
      <c r="K172" s="46"/>
      <c r="L172" s="46"/>
      <c r="M172" s="46"/>
      <c r="N172" s="46"/>
      <c r="O172" s="46"/>
    </row>
    <row r="173" spans="2:15" x14ac:dyDescent="0.2">
      <c r="B173" s="46"/>
      <c r="C173" s="46"/>
      <c r="D173" s="46"/>
      <c r="E173" s="46"/>
      <c r="F173" s="46"/>
      <c r="G173" s="46"/>
      <c r="H173" s="46"/>
      <c r="I173" s="46"/>
      <c r="J173" s="46"/>
      <c r="K173" s="46"/>
      <c r="L173" s="46"/>
      <c r="M173" s="46"/>
      <c r="N173" s="46"/>
      <c r="O173" s="46"/>
    </row>
    <row r="174" spans="2:15" x14ac:dyDescent="0.2">
      <c r="B174" s="46"/>
      <c r="C174" s="46"/>
      <c r="D174" s="46"/>
      <c r="E174" s="46"/>
      <c r="F174" s="46"/>
      <c r="G174" s="46"/>
      <c r="H174" s="46"/>
      <c r="I174" s="46"/>
      <c r="J174" s="46"/>
      <c r="K174" s="46"/>
      <c r="L174" s="46"/>
      <c r="M174" s="46"/>
      <c r="N174" s="46"/>
      <c r="O174" s="46"/>
    </row>
    <row r="175" spans="2:15" x14ac:dyDescent="0.2">
      <c r="B175" s="46"/>
      <c r="C175" s="46"/>
      <c r="D175" s="46"/>
      <c r="E175" s="46"/>
      <c r="F175" s="46"/>
      <c r="G175" s="46"/>
      <c r="H175" s="46"/>
      <c r="I175" s="46"/>
      <c r="J175" s="46"/>
      <c r="K175" s="46"/>
      <c r="L175" s="46"/>
      <c r="M175" s="46"/>
      <c r="N175" s="46"/>
      <c r="O175" s="46"/>
    </row>
    <row r="176" spans="2:15" x14ac:dyDescent="0.2">
      <c r="B176" s="46"/>
      <c r="C176" s="46"/>
      <c r="D176" s="46"/>
      <c r="E176" s="46"/>
      <c r="F176" s="46"/>
      <c r="G176" s="46"/>
      <c r="H176" s="46"/>
      <c r="I176" s="46"/>
      <c r="J176" s="46"/>
      <c r="K176" s="46"/>
      <c r="L176" s="46"/>
      <c r="M176" s="46"/>
      <c r="N176" s="46"/>
      <c r="O176" s="46"/>
    </row>
    <row r="177" spans="2:15" x14ac:dyDescent="0.2">
      <c r="B177" s="46"/>
      <c r="C177" s="46"/>
      <c r="D177" s="46"/>
      <c r="E177" s="46"/>
      <c r="F177" s="46"/>
      <c r="G177" s="46"/>
      <c r="H177" s="46"/>
      <c r="I177" s="46"/>
      <c r="J177" s="46"/>
      <c r="K177" s="46"/>
      <c r="L177" s="46"/>
      <c r="M177" s="46"/>
      <c r="N177" s="46"/>
      <c r="O177" s="46"/>
    </row>
    <row r="178" spans="2:15" x14ac:dyDescent="0.2">
      <c r="B178" s="46"/>
      <c r="C178" s="46"/>
      <c r="D178" s="46"/>
      <c r="E178" s="46"/>
      <c r="F178" s="46"/>
      <c r="G178" s="46"/>
      <c r="H178" s="46"/>
      <c r="I178" s="46"/>
      <c r="J178" s="46"/>
      <c r="K178" s="46"/>
      <c r="L178" s="46"/>
      <c r="M178" s="46"/>
      <c r="N178" s="46"/>
      <c r="O178" s="46"/>
    </row>
    <row r="179" spans="2:15" x14ac:dyDescent="0.2">
      <c r="B179" s="46"/>
      <c r="C179" s="46"/>
      <c r="D179" s="46"/>
      <c r="E179" s="46"/>
      <c r="F179" s="46"/>
      <c r="G179" s="46"/>
      <c r="H179" s="46"/>
      <c r="I179" s="46"/>
      <c r="J179" s="46"/>
      <c r="K179" s="46"/>
      <c r="L179" s="46"/>
      <c r="M179" s="46"/>
      <c r="N179" s="46"/>
      <c r="O179" s="46"/>
    </row>
    <row r="180" spans="2:15" x14ac:dyDescent="0.2">
      <c r="B180" s="46"/>
      <c r="C180" s="46"/>
      <c r="D180" s="46"/>
      <c r="E180" s="46"/>
      <c r="F180" s="46"/>
      <c r="G180" s="46"/>
      <c r="H180" s="46"/>
      <c r="I180" s="46"/>
      <c r="J180" s="46"/>
      <c r="K180" s="46"/>
      <c r="L180" s="46"/>
      <c r="M180" s="46"/>
      <c r="N180" s="46"/>
      <c r="O180" s="46"/>
    </row>
    <row r="181" spans="2:15" x14ac:dyDescent="0.2">
      <c r="B181" s="46"/>
      <c r="C181" s="46"/>
      <c r="D181" s="46"/>
      <c r="E181" s="46"/>
      <c r="F181" s="46"/>
      <c r="G181" s="46"/>
      <c r="H181" s="46"/>
      <c r="I181" s="46"/>
      <c r="J181" s="46"/>
      <c r="K181" s="46"/>
      <c r="L181" s="46"/>
      <c r="M181" s="46"/>
      <c r="N181" s="46"/>
      <c r="O181" s="46"/>
    </row>
    <row r="182" spans="2:15" x14ac:dyDescent="0.2">
      <c r="B182" s="46"/>
      <c r="C182" s="46"/>
      <c r="D182" s="46"/>
      <c r="E182" s="46"/>
      <c r="F182" s="46"/>
      <c r="G182" s="46"/>
      <c r="H182" s="46"/>
      <c r="I182" s="46"/>
      <c r="J182" s="46"/>
      <c r="K182" s="46"/>
      <c r="L182" s="46"/>
      <c r="M182" s="46"/>
      <c r="N182" s="46"/>
      <c r="O182" s="46"/>
    </row>
    <row r="183" spans="2:15" x14ac:dyDescent="0.2">
      <c r="B183" s="46"/>
      <c r="C183" s="46"/>
      <c r="D183" s="46"/>
      <c r="E183" s="46"/>
      <c r="F183" s="46"/>
      <c r="G183" s="46"/>
      <c r="H183" s="46"/>
      <c r="I183" s="46"/>
      <c r="J183" s="46"/>
      <c r="K183" s="46"/>
      <c r="L183" s="46"/>
      <c r="M183" s="46"/>
      <c r="N183" s="46"/>
      <c r="O183" s="46"/>
    </row>
    <row r="184" spans="2:15" x14ac:dyDescent="0.2">
      <c r="B184" s="46"/>
      <c r="C184" s="46"/>
      <c r="D184" s="46"/>
      <c r="E184" s="46"/>
      <c r="F184" s="46"/>
      <c r="G184" s="46"/>
      <c r="H184" s="46"/>
      <c r="I184" s="46"/>
      <c r="J184" s="46"/>
      <c r="K184" s="46"/>
      <c r="L184" s="46"/>
      <c r="M184" s="46"/>
      <c r="N184" s="46"/>
      <c r="O184" s="46"/>
    </row>
    <row r="185" spans="2:15" x14ac:dyDescent="0.2">
      <c r="B185" s="46"/>
      <c r="C185" s="46"/>
      <c r="D185" s="46"/>
      <c r="E185" s="46"/>
      <c r="F185" s="46"/>
      <c r="G185" s="46"/>
      <c r="H185" s="46"/>
      <c r="I185" s="46"/>
      <c r="J185" s="46"/>
      <c r="K185" s="46"/>
      <c r="L185" s="46"/>
      <c r="M185" s="46"/>
      <c r="N185" s="46"/>
      <c r="O185" s="46"/>
    </row>
    <row r="186" spans="2:15" x14ac:dyDescent="0.2">
      <c r="B186" s="46"/>
      <c r="C186" s="46"/>
      <c r="D186" s="46"/>
      <c r="E186" s="46"/>
      <c r="F186" s="46"/>
      <c r="G186" s="46"/>
      <c r="H186" s="46"/>
      <c r="I186" s="46"/>
      <c r="J186" s="46"/>
      <c r="K186" s="46"/>
      <c r="L186" s="46"/>
      <c r="M186" s="46"/>
      <c r="N186" s="46"/>
      <c r="O186" s="46"/>
    </row>
    <row r="187" spans="2:15" x14ac:dyDescent="0.2">
      <c r="B187" s="46"/>
      <c r="C187" s="46"/>
      <c r="D187" s="46"/>
      <c r="E187" s="46"/>
      <c r="F187" s="46"/>
      <c r="G187" s="46"/>
      <c r="H187" s="46"/>
      <c r="I187" s="46"/>
      <c r="J187" s="46"/>
      <c r="K187" s="46"/>
      <c r="L187" s="46"/>
      <c r="M187" s="46"/>
      <c r="N187" s="46"/>
      <c r="O187" s="46"/>
    </row>
    <row r="188" spans="2:15" x14ac:dyDescent="0.2">
      <c r="B188" s="46"/>
      <c r="C188" s="46"/>
      <c r="D188" s="46"/>
      <c r="E188" s="46"/>
      <c r="F188" s="46"/>
      <c r="G188" s="46"/>
      <c r="H188" s="46"/>
      <c r="I188" s="46"/>
      <c r="J188" s="46"/>
      <c r="K188" s="46"/>
      <c r="L188" s="46"/>
      <c r="M188" s="46"/>
      <c r="N188" s="46"/>
      <c r="O188" s="46"/>
    </row>
    <row r="189" spans="2:15" x14ac:dyDescent="0.2">
      <c r="B189" s="46"/>
      <c r="C189" s="46"/>
      <c r="D189" s="46"/>
      <c r="E189" s="46"/>
      <c r="F189" s="46"/>
      <c r="G189" s="46"/>
      <c r="H189" s="46"/>
      <c r="I189" s="46"/>
      <c r="J189" s="46"/>
      <c r="K189" s="46"/>
      <c r="L189" s="46"/>
      <c r="M189" s="46"/>
      <c r="N189" s="46"/>
      <c r="O189" s="46"/>
    </row>
    <row r="190" spans="2:15" x14ac:dyDescent="0.2">
      <c r="B190" s="46"/>
      <c r="C190" s="46"/>
      <c r="D190" s="46"/>
      <c r="E190" s="46"/>
      <c r="F190" s="46"/>
      <c r="G190" s="46"/>
      <c r="H190" s="46"/>
      <c r="I190" s="46"/>
      <c r="J190" s="46"/>
      <c r="K190" s="46"/>
      <c r="L190" s="46"/>
      <c r="M190" s="46"/>
      <c r="N190" s="46"/>
      <c r="O190" s="46"/>
    </row>
    <row r="191" spans="2:15" x14ac:dyDescent="0.2">
      <c r="B191" s="46"/>
      <c r="C191" s="46"/>
      <c r="D191" s="46"/>
      <c r="E191" s="46"/>
      <c r="F191" s="46"/>
      <c r="G191" s="46"/>
      <c r="H191" s="46"/>
      <c r="I191" s="46"/>
      <c r="J191" s="46"/>
      <c r="K191" s="46"/>
      <c r="L191" s="46"/>
      <c r="M191" s="46"/>
      <c r="N191" s="46"/>
      <c r="O191" s="46"/>
    </row>
    <row r="192" spans="2:15" x14ac:dyDescent="0.2">
      <c r="B192" s="46"/>
      <c r="C192" s="46"/>
      <c r="D192" s="46"/>
      <c r="E192" s="46"/>
      <c r="F192" s="46"/>
      <c r="G192" s="46"/>
      <c r="H192" s="46"/>
      <c r="I192" s="46"/>
      <c r="J192" s="46"/>
      <c r="K192" s="46"/>
      <c r="L192" s="46"/>
      <c r="M192" s="46"/>
      <c r="N192" s="46"/>
      <c r="O192" s="46"/>
    </row>
    <row r="193" spans="2:15" x14ac:dyDescent="0.2">
      <c r="B193" s="46"/>
      <c r="C193" s="46"/>
      <c r="D193" s="46"/>
      <c r="E193" s="46"/>
      <c r="F193" s="46"/>
      <c r="G193" s="46"/>
      <c r="H193" s="46"/>
      <c r="I193" s="46"/>
      <c r="J193" s="46"/>
      <c r="K193" s="46"/>
      <c r="L193" s="46"/>
      <c r="M193" s="46"/>
      <c r="N193" s="46"/>
      <c r="O193" s="46"/>
    </row>
    <row r="194" spans="2:15" x14ac:dyDescent="0.2">
      <c r="B194" s="46"/>
      <c r="C194" s="46"/>
      <c r="D194" s="46"/>
      <c r="E194" s="46"/>
      <c r="F194" s="46"/>
      <c r="G194" s="46"/>
      <c r="H194" s="46"/>
      <c r="I194" s="46"/>
      <c r="J194" s="46"/>
      <c r="K194" s="46"/>
      <c r="L194" s="46"/>
      <c r="M194" s="46"/>
      <c r="N194" s="46"/>
      <c r="O194" s="46"/>
    </row>
    <row r="195" spans="2:15" x14ac:dyDescent="0.2">
      <c r="B195" s="46"/>
      <c r="C195" s="46"/>
      <c r="D195" s="46"/>
      <c r="E195" s="46"/>
      <c r="F195" s="46"/>
      <c r="G195" s="46"/>
      <c r="H195" s="46"/>
      <c r="I195" s="46"/>
      <c r="J195" s="46"/>
      <c r="K195" s="46"/>
      <c r="L195" s="46"/>
      <c r="M195" s="46"/>
      <c r="N195" s="46"/>
      <c r="O195" s="46"/>
    </row>
    <row r="196" spans="2:15" x14ac:dyDescent="0.2">
      <c r="B196" s="46"/>
      <c r="C196" s="46"/>
      <c r="D196" s="46"/>
      <c r="E196" s="46"/>
      <c r="F196" s="46"/>
      <c r="G196" s="46"/>
      <c r="H196" s="46"/>
      <c r="I196" s="46"/>
      <c r="J196" s="46"/>
      <c r="K196" s="46"/>
      <c r="L196" s="46"/>
      <c r="M196" s="46"/>
      <c r="N196" s="46"/>
      <c r="O196" s="46"/>
    </row>
    <row r="197" spans="2:15" x14ac:dyDescent="0.2">
      <c r="B197" s="46"/>
      <c r="C197" s="46"/>
      <c r="D197" s="46"/>
      <c r="E197" s="46"/>
      <c r="F197" s="46"/>
      <c r="G197" s="46"/>
      <c r="H197" s="46"/>
      <c r="I197" s="46"/>
      <c r="J197" s="46"/>
      <c r="K197" s="46"/>
      <c r="L197" s="46"/>
      <c r="M197" s="46"/>
      <c r="N197" s="46"/>
      <c r="O197" s="46"/>
    </row>
    <row r="198" spans="2:15" x14ac:dyDescent="0.2">
      <c r="B198" s="46"/>
      <c r="C198" s="46"/>
      <c r="D198" s="46"/>
      <c r="E198" s="46"/>
      <c r="F198" s="46"/>
      <c r="G198" s="46"/>
      <c r="H198" s="46"/>
      <c r="I198" s="46"/>
      <c r="J198" s="46"/>
      <c r="K198" s="46"/>
      <c r="L198" s="46"/>
      <c r="M198" s="46"/>
      <c r="N198" s="46"/>
      <c r="O198" s="46"/>
    </row>
    <row r="199" spans="2:15" x14ac:dyDescent="0.2">
      <c r="B199" s="46"/>
      <c r="C199" s="46"/>
      <c r="D199" s="46"/>
      <c r="E199" s="46"/>
      <c r="F199" s="46"/>
      <c r="G199" s="46"/>
      <c r="H199" s="46"/>
      <c r="I199" s="46"/>
      <c r="J199" s="46"/>
      <c r="K199" s="46"/>
      <c r="L199" s="46"/>
      <c r="M199" s="46"/>
      <c r="N199" s="46"/>
      <c r="O199" s="46"/>
    </row>
    <row r="200" spans="2:15" x14ac:dyDescent="0.2">
      <c r="B200" s="46"/>
      <c r="C200" s="46"/>
      <c r="D200" s="46"/>
      <c r="E200" s="46"/>
      <c r="F200" s="46"/>
      <c r="G200" s="46"/>
      <c r="H200" s="46"/>
      <c r="I200" s="46"/>
      <c r="J200" s="46"/>
      <c r="K200" s="46"/>
      <c r="L200" s="46"/>
      <c r="M200" s="46"/>
      <c r="N200" s="46"/>
      <c r="O200" s="46"/>
    </row>
    <row r="201" spans="2:15" x14ac:dyDescent="0.2">
      <c r="B201" s="46"/>
      <c r="C201" s="46"/>
      <c r="D201" s="46"/>
      <c r="E201" s="46"/>
      <c r="F201" s="46"/>
      <c r="G201" s="46"/>
      <c r="H201" s="46"/>
      <c r="I201" s="46"/>
      <c r="J201" s="46"/>
      <c r="K201" s="46"/>
      <c r="L201" s="46"/>
      <c r="M201" s="46"/>
      <c r="N201" s="46"/>
      <c r="O201" s="46"/>
    </row>
    <row r="202" spans="2:15" x14ac:dyDescent="0.2">
      <c r="B202" s="46"/>
      <c r="C202" s="46"/>
      <c r="D202" s="46"/>
      <c r="E202" s="46"/>
      <c r="F202" s="46"/>
      <c r="G202" s="46"/>
      <c r="H202" s="46"/>
      <c r="I202" s="46"/>
      <c r="J202" s="46"/>
      <c r="K202" s="46"/>
      <c r="L202" s="46"/>
      <c r="M202" s="46"/>
      <c r="N202" s="46"/>
      <c r="O202" s="46"/>
    </row>
    <row r="203" spans="2:15" x14ac:dyDescent="0.2">
      <c r="B203" s="46"/>
      <c r="C203" s="46"/>
      <c r="D203" s="46"/>
      <c r="E203" s="46"/>
      <c r="F203" s="46"/>
      <c r="G203" s="46"/>
      <c r="H203" s="46"/>
      <c r="I203" s="46"/>
      <c r="J203" s="46"/>
      <c r="K203" s="46"/>
      <c r="L203" s="46"/>
      <c r="M203" s="46"/>
      <c r="N203" s="46"/>
      <c r="O203" s="46"/>
    </row>
    <row r="204" spans="2:15" x14ac:dyDescent="0.2">
      <c r="B204" s="46"/>
      <c r="C204" s="46"/>
      <c r="D204" s="46"/>
      <c r="E204" s="46"/>
      <c r="F204" s="46"/>
      <c r="G204" s="46"/>
      <c r="H204" s="46"/>
      <c r="I204" s="46"/>
      <c r="J204" s="46"/>
      <c r="K204" s="46"/>
      <c r="L204" s="46"/>
      <c r="M204" s="46"/>
      <c r="N204" s="46"/>
      <c r="O204" s="46"/>
    </row>
    <row r="205" spans="2:15" x14ac:dyDescent="0.2">
      <c r="B205" s="46"/>
      <c r="C205" s="46"/>
      <c r="D205" s="46"/>
      <c r="E205" s="46"/>
      <c r="F205" s="46"/>
      <c r="G205" s="46"/>
      <c r="H205" s="46"/>
      <c r="I205" s="46"/>
      <c r="J205" s="46"/>
      <c r="K205" s="46"/>
      <c r="L205" s="46"/>
      <c r="M205" s="46"/>
      <c r="N205" s="46"/>
      <c r="O205" s="46"/>
    </row>
    <row r="206" spans="2:15" x14ac:dyDescent="0.2">
      <c r="B206" s="46"/>
      <c r="C206" s="46"/>
      <c r="D206" s="46"/>
      <c r="E206" s="46"/>
      <c r="F206" s="46"/>
      <c r="G206" s="46"/>
      <c r="H206" s="46"/>
      <c r="I206" s="46"/>
      <c r="J206" s="46"/>
      <c r="K206" s="46"/>
      <c r="L206" s="46"/>
      <c r="M206" s="46"/>
      <c r="N206" s="46"/>
      <c r="O206" s="46"/>
    </row>
    <row r="207" spans="2:15" x14ac:dyDescent="0.2">
      <c r="B207" s="46"/>
      <c r="C207" s="46"/>
      <c r="D207" s="46"/>
      <c r="E207" s="46"/>
      <c r="F207" s="46"/>
      <c r="G207" s="46"/>
      <c r="H207" s="46"/>
      <c r="I207" s="46"/>
      <c r="J207" s="46"/>
      <c r="K207" s="46"/>
      <c r="L207" s="46"/>
      <c r="M207" s="46"/>
      <c r="N207" s="46"/>
      <c r="O207" s="46"/>
    </row>
    <row r="208" spans="2:15" x14ac:dyDescent="0.2">
      <c r="B208" s="46"/>
      <c r="C208" s="46"/>
      <c r="D208" s="46"/>
      <c r="E208" s="46"/>
      <c r="F208" s="46"/>
      <c r="G208" s="46"/>
      <c r="H208" s="46"/>
      <c r="I208" s="46"/>
      <c r="J208" s="46"/>
      <c r="K208" s="46"/>
      <c r="L208" s="46"/>
      <c r="M208" s="46"/>
      <c r="N208" s="46"/>
      <c r="O208" s="46"/>
    </row>
    <row r="209" spans="2:15" x14ac:dyDescent="0.2">
      <c r="B209" s="46"/>
      <c r="C209" s="46"/>
      <c r="D209" s="46"/>
      <c r="E209" s="46"/>
      <c r="F209" s="46"/>
      <c r="G209" s="46"/>
      <c r="H209" s="46"/>
      <c r="I209" s="46"/>
      <c r="J209" s="46"/>
      <c r="K209" s="46"/>
      <c r="L209" s="46"/>
      <c r="M209" s="46"/>
      <c r="N209" s="46"/>
      <c r="O209" s="46"/>
    </row>
    <row r="210" spans="2:15" x14ac:dyDescent="0.2">
      <c r="B210" s="46"/>
      <c r="C210" s="46"/>
      <c r="D210" s="46"/>
      <c r="E210" s="46"/>
      <c r="F210" s="46"/>
      <c r="G210" s="46"/>
      <c r="H210" s="46"/>
      <c r="I210" s="46"/>
      <c r="J210" s="46"/>
      <c r="K210" s="46"/>
      <c r="L210" s="46"/>
      <c r="M210" s="46"/>
      <c r="N210" s="46"/>
      <c r="O210" s="46"/>
    </row>
    <row r="211" spans="2:15" x14ac:dyDescent="0.2">
      <c r="B211" s="46"/>
      <c r="C211" s="46"/>
      <c r="D211" s="46"/>
      <c r="E211" s="46"/>
      <c r="F211" s="46"/>
      <c r="G211" s="46"/>
      <c r="H211" s="46"/>
      <c r="I211" s="46"/>
      <c r="J211" s="46"/>
      <c r="K211" s="46"/>
      <c r="L211" s="46"/>
      <c r="M211" s="46"/>
      <c r="N211" s="46"/>
      <c r="O211" s="46"/>
    </row>
    <row r="212" spans="2:15" x14ac:dyDescent="0.2">
      <c r="B212" s="46"/>
      <c r="C212" s="46"/>
      <c r="D212" s="46"/>
      <c r="E212" s="46"/>
      <c r="F212" s="46"/>
      <c r="G212" s="46"/>
      <c r="H212" s="46"/>
      <c r="I212" s="46"/>
      <c r="J212" s="46"/>
      <c r="K212" s="46"/>
      <c r="L212" s="46"/>
      <c r="M212" s="46"/>
      <c r="N212" s="46"/>
      <c r="O212" s="46"/>
    </row>
    <row r="213" spans="2:15" x14ac:dyDescent="0.2">
      <c r="B213" s="46"/>
      <c r="C213" s="46"/>
      <c r="D213" s="46"/>
      <c r="E213" s="46"/>
      <c r="F213" s="46"/>
      <c r="G213" s="46"/>
      <c r="H213" s="46"/>
      <c r="I213" s="46"/>
      <c r="J213" s="46"/>
      <c r="K213" s="46"/>
      <c r="L213" s="46"/>
      <c r="M213" s="46"/>
      <c r="N213" s="46"/>
      <c r="O213" s="46"/>
    </row>
    <row r="214" spans="2:15" x14ac:dyDescent="0.2">
      <c r="B214" s="46"/>
      <c r="C214" s="46"/>
      <c r="D214" s="46"/>
      <c r="E214" s="46"/>
      <c r="F214" s="46"/>
      <c r="G214" s="46"/>
      <c r="H214" s="46"/>
      <c r="I214" s="46"/>
      <c r="J214" s="46"/>
      <c r="K214" s="46"/>
      <c r="L214" s="46"/>
      <c r="M214" s="46"/>
      <c r="N214" s="46"/>
      <c r="O214" s="46"/>
    </row>
    <row r="215" spans="2:15" x14ac:dyDescent="0.2">
      <c r="B215" s="46"/>
      <c r="C215" s="46"/>
      <c r="D215" s="46"/>
      <c r="E215" s="46"/>
      <c r="F215" s="46"/>
      <c r="G215" s="46"/>
      <c r="H215" s="46"/>
      <c r="I215" s="46"/>
      <c r="J215" s="46"/>
      <c r="K215" s="46"/>
      <c r="L215" s="46"/>
      <c r="M215" s="46"/>
      <c r="N215" s="46"/>
      <c r="O215" s="46"/>
    </row>
    <row r="216" spans="2:15" x14ac:dyDescent="0.2">
      <c r="B216" s="46"/>
      <c r="C216" s="46"/>
      <c r="D216" s="46"/>
      <c r="E216" s="46"/>
      <c r="F216" s="46"/>
      <c r="G216" s="46"/>
      <c r="H216" s="46"/>
      <c r="I216" s="46"/>
      <c r="J216" s="46"/>
      <c r="K216" s="46"/>
      <c r="L216" s="46"/>
      <c r="M216" s="46"/>
      <c r="N216" s="46"/>
      <c r="O216" s="46"/>
    </row>
    <row r="217" spans="2:15" x14ac:dyDescent="0.2">
      <c r="B217" s="46"/>
      <c r="C217" s="46"/>
      <c r="D217" s="46"/>
      <c r="E217" s="46"/>
      <c r="F217" s="46"/>
      <c r="G217" s="46"/>
      <c r="H217" s="46"/>
      <c r="I217" s="46"/>
      <c r="J217" s="46"/>
      <c r="K217" s="46"/>
      <c r="L217" s="46"/>
      <c r="M217" s="46"/>
      <c r="N217" s="46"/>
      <c r="O217" s="46"/>
    </row>
    <row r="218" spans="2:15" x14ac:dyDescent="0.2">
      <c r="B218" s="46"/>
      <c r="C218" s="46"/>
      <c r="D218" s="46"/>
      <c r="E218" s="46"/>
      <c r="F218" s="46"/>
      <c r="G218" s="46"/>
      <c r="H218" s="46"/>
      <c r="I218" s="46"/>
      <c r="J218" s="46"/>
      <c r="K218" s="46"/>
      <c r="L218" s="46"/>
      <c r="M218" s="46"/>
      <c r="N218" s="46"/>
      <c r="O218" s="46"/>
    </row>
    <row r="219" spans="2:15" x14ac:dyDescent="0.2">
      <c r="B219" s="46"/>
      <c r="C219" s="46"/>
      <c r="D219" s="46"/>
      <c r="E219" s="46"/>
      <c r="F219" s="46"/>
      <c r="G219" s="46"/>
      <c r="H219" s="46"/>
      <c r="I219" s="46"/>
      <c r="J219" s="46"/>
      <c r="K219" s="46"/>
      <c r="L219" s="46"/>
      <c r="M219" s="46"/>
      <c r="N219" s="46"/>
      <c r="O219" s="46"/>
    </row>
    <row r="220" spans="2:15" x14ac:dyDescent="0.2">
      <c r="B220" s="46"/>
      <c r="C220" s="46"/>
      <c r="D220" s="46"/>
      <c r="E220" s="46"/>
      <c r="F220" s="46"/>
      <c r="G220" s="46"/>
      <c r="H220" s="46"/>
      <c r="I220" s="46"/>
      <c r="J220" s="46"/>
      <c r="K220" s="46"/>
      <c r="L220" s="46"/>
      <c r="M220" s="46"/>
      <c r="N220" s="46"/>
      <c r="O220" s="46"/>
    </row>
    <row r="221" spans="2:15" x14ac:dyDescent="0.2">
      <c r="B221" s="46"/>
      <c r="C221" s="46"/>
      <c r="D221" s="46"/>
      <c r="E221" s="46"/>
      <c r="F221" s="46"/>
      <c r="G221" s="46"/>
      <c r="H221" s="46"/>
      <c r="I221" s="46"/>
      <c r="J221" s="46"/>
      <c r="K221" s="46"/>
      <c r="L221" s="46"/>
      <c r="M221" s="46"/>
      <c r="N221" s="46"/>
      <c r="O221" s="46"/>
    </row>
    <row r="222" spans="2:15" x14ac:dyDescent="0.2">
      <c r="B222" s="46"/>
      <c r="C222" s="46"/>
      <c r="D222" s="46"/>
      <c r="E222" s="46"/>
      <c r="F222" s="46"/>
      <c r="G222" s="46"/>
      <c r="H222" s="46"/>
      <c r="I222" s="46"/>
      <c r="J222" s="46"/>
      <c r="K222" s="46"/>
      <c r="L222" s="46"/>
      <c r="M222" s="46"/>
      <c r="N222" s="46"/>
      <c r="O222" s="46"/>
    </row>
    <row r="223" spans="2:15" x14ac:dyDescent="0.2">
      <c r="B223" s="46"/>
      <c r="C223" s="46"/>
      <c r="D223" s="46"/>
      <c r="E223" s="46"/>
      <c r="F223" s="46"/>
      <c r="G223" s="46"/>
      <c r="H223" s="46"/>
      <c r="I223" s="46"/>
      <c r="J223" s="46"/>
      <c r="K223" s="46"/>
      <c r="L223" s="46"/>
      <c r="M223" s="46"/>
      <c r="N223" s="46"/>
      <c r="O223" s="46"/>
    </row>
    <row r="224" spans="2:15" x14ac:dyDescent="0.2">
      <c r="B224" s="46"/>
      <c r="C224" s="46"/>
      <c r="D224" s="46"/>
      <c r="E224" s="46"/>
      <c r="F224" s="46"/>
      <c r="G224" s="46"/>
      <c r="H224" s="46"/>
      <c r="I224" s="46"/>
      <c r="J224" s="46"/>
      <c r="K224" s="46"/>
      <c r="L224" s="46"/>
      <c r="M224" s="46"/>
      <c r="N224" s="46"/>
      <c r="O224" s="46"/>
    </row>
    <row r="225" spans="2:15" x14ac:dyDescent="0.2">
      <c r="B225" s="46"/>
      <c r="C225" s="46"/>
      <c r="D225" s="46"/>
      <c r="E225" s="46"/>
      <c r="F225" s="46"/>
      <c r="G225" s="46"/>
      <c r="H225" s="46"/>
      <c r="I225" s="46"/>
      <c r="J225" s="46"/>
      <c r="K225" s="46"/>
      <c r="L225" s="46"/>
      <c r="M225" s="46"/>
      <c r="N225" s="46"/>
      <c r="O225" s="46"/>
    </row>
    <row r="226" spans="2:15" x14ac:dyDescent="0.2">
      <c r="B226" s="46"/>
      <c r="C226" s="46"/>
      <c r="D226" s="46"/>
      <c r="E226" s="46"/>
      <c r="F226" s="46"/>
      <c r="G226" s="46"/>
      <c r="H226" s="46"/>
      <c r="I226" s="46"/>
      <c r="J226" s="46"/>
      <c r="K226" s="46"/>
      <c r="L226" s="46"/>
      <c r="M226" s="46"/>
      <c r="N226" s="46"/>
      <c r="O226" s="46"/>
    </row>
    <row r="227" spans="2:15" x14ac:dyDescent="0.2">
      <c r="B227" s="46"/>
      <c r="C227" s="46"/>
      <c r="D227" s="46"/>
      <c r="E227" s="46"/>
      <c r="F227" s="46"/>
      <c r="G227" s="46"/>
      <c r="H227" s="46"/>
      <c r="I227" s="46"/>
      <c r="J227" s="46"/>
      <c r="K227" s="46"/>
      <c r="L227" s="46"/>
      <c r="M227" s="46"/>
      <c r="N227" s="46"/>
      <c r="O227" s="46"/>
    </row>
    <row r="228" spans="2:15" x14ac:dyDescent="0.2">
      <c r="B228" s="46"/>
      <c r="C228" s="46"/>
      <c r="D228" s="46"/>
      <c r="E228" s="46"/>
      <c r="F228" s="46"/>
      <c r="G228" s="46"/>
      <c r="H228" s="46"/>
      <c r="I228" s="46"/>
      <c r="J228" s="46"/>
      <c r="K228" s="46"/>
      <c r="L228" s="46"/>
      <c r="M228" s="46"/>
      <c r="N228" s="46"/>
      <c r="O228" s="46"/>
    </row>
    <row r="229" spans="2:15" x14ac:dyDescent="0.2">
      <c r="B229" s="46"/>
      <c r="C229" s="46"/>
      <c r="D229" s="46"/>
      <c r="E229" s="46"/>
      <c r="F229" s="46"/>
      <c r="G229" s="46"/>
      <c r="H229" s="46"/>
      <c r="I229" s="46"/>
      <c r="J229" s="46"/>
      <c r="K229" s="46"/>
      <c r="L229" s="46"/>
      <c r="M229" s="46"/>
      <c r="N229" s="46"/>
      <c r="O229" s="46"/>
    </row>
    <row r="230" spans="2:15" x14ac:dyDescent="0.2">
      <c r="B230" s="46"/>
      <c r="C230" s="46"/>
      <c r="D230" s="46"/>
      <c r="E230" s="46"/>
      <c r="F230" s="46"/>
      <c r="G230" s="46"/>
      <c r="H230" s="46"/>
      <c r="I230" s="46"/>
      <c r="J230" s="46"/>
      <c r="K230" s="46"/>
      <c r="L230" s="46"/>
      <c r="M230" s="46"/>
      <c r="N230" s="46"/>
      <c r="O230" s="46"/>
    </row>
    <row r="231" spans="2:15" x14ac:dyDescent="0.2">
      <c r="B231" s="46"/>
      <c r="C231" s="46"/>
      <c r="D231" s="46"/>
      <c r="E231" s="46"/>
      <c r="F231" s="46"/>
      <c r="G231" s="46"/>
      <c r="H231" s="46"/>
      <c r="I231" s="46"/>
      <c r="J231" s="46"/>
      <c r="K231" s="46"/>
      <c r="L231" s="46"/>
      <c r="M231" s="46"/>
      <c r="N231" s="46"/>
      <c r="O231" s="46"/>
    </row>
    <row r="232" spans="2:15" x14ac:dyDescent="0.2">
      <c r="B232" s="46"/>
      <c r="C232" s="46"/>
      <c r="D232" s="46"/>
      <c r="E232" s="46"/>
      <c r="F232" s="46"/>
      <c r="G232" s="46"/>
      <c r="H232" s="46"/>
      <c r="I232" s="46"/>
      <c r="J232" s="46"/>
      <c r="K232" s="46"/>
      <c r="L232" s="46"/>
      <c r="M232" s="46"/>
      <c r="N232" s="46"/>
      <c r="O232" s="46"/>
    </row>
    <row r="233" spans="2:15" x14ac:dyDescent="0.2">
      <c r="B233" s="46"/>
      <c r="C233" s="46"/>
      <c r="D233" s="46"/>
      <c r="E233" s="46"/>
      <c r="F233" s="46"/>
      <c r="G233" s="46"/>
      <c r="H233" s="46"/>
      <c r="I233" s="46"/>
      <c r="J233" s="46"/>
      <c r="K233" s="46"/>
      <c r="L233" s="46"/>
      <c r="M233" s="46"/>
      <c r="N233" s="46"/>
      <c r="O233" s="46"/>
    </row>
    <row r="234" spans="2:15" x14ac:dyDescent="0.2">
      <c r="B234" s="46"/>
      <c r="C234" s="46"/>
      <c r="D234" s="46"/>
      <c r="E234" s="46"/>
      <c r="F234" s="46"/>
      <c r="G234" s="46"/>
      <c r="H234" s="46"/>
      <c r="I234" s="46"/>
      <c r="J234" s="46"/>
      <c r="K234" s="46"/>
      <c r="L234" s="46"/>
      <c r="M234" s="46"/>
      <c r="N234" s="46"/>
      <c r="O234" s="46"/>
    </row>
    <row r="235" spans="2:15" x14ac:dyDescent="0.2">
      <c r="B235" s="46"/>
      <c r="C235" s="46"/>
      <c r="D235" s="46"/>
      <c r="E235" s="46"/>
      <c r="F235" s="46"/>
      <c r="G235" s="46"/>
      <c r="H235" s="46"/>
      <c r="I235" s="46"/>
      <c r="J235" s="46"/>
      <c r="K235" s="46"/>
      <c r="L235" s="46"/>
      <c r="M235" s="46"/>
      <c r="N235" s="46"/>
      <c r="O235" s="46"/>
    </row>
    <row r="236" spans="2:15" x14ac:dyDescent="0.2">
      <c r="B236" s="46"/>
      <c r="C236" s="46"/>
      <c r="D236" s="46"/>
      <c r="E236" s="46"/>
      <c r="F236" s="46"/>
      <c r="G236" s="46"/>
      <c r="H236" s="46"/>
      <c r="I236" s="46"/>
      <c r="J236" s="46"/>
      <c r="K236" s="46"/>
      <c r="L236" s="46"/>
      <c r="M236" s="46"/>
      <c r="N236" s="46"/>
      <c r="O236" s="46"/>
    </row>
    <row r="237" spans="2:15" x14ac:dyDescent="0.2">
      <c r="B237" s="46"/>
      <c r="C237" s="46"/>
      <c r="D237" s="46"/>
      <c r="E237" s="46"/>
      <c r="F237" s="46"/>
      <c r="G237" s="46"/>
      <c r="H237" s="46"/>
      <c r="I237" s="46"/>
      <c r="J237" s="46"/>
      <c r="K237" s="46"/>
      <c r="L237" s="46"/>
      <c r="M237" s="46"/>
      <c r="N237" s="46"/>
      <c r="O237" s="46"/>
    </row>
    <row r="238" spans="2:15" x14ac:dyDescent="0.2">
      <c r="B238" s="46"/>
      <c r="C238" s="46"/>
      <c r="D238" s="46"/>
      <c r="E238" s="46"/>
      <c r="F238" s="46"/>
      <c r="G238" s="46"/>
      <c r="H238" s="46"/>
      <c r="I238" s="46"/>
      <c r="J238" s="46"/>
      <c r="K238" s="46"/>
      <c r="L238" s="46"/>
      <c r="M238" s="46"/>
      <c r="N238" s="46"/>
      <c r="O238" s="46"/>
    </row>
    <row r="239" spans="2:15" x14ac:dyDescent="0.2">
      <c r="B239" s="46"/>
      <c r="C239" s="46"/>
      <c r="D239" s="46"/>
      <c r="E239" s="46"/>
      <c r="F239" s="46"/>
      <c r="G239" s="46"/>
      <c r="H239" s="46"/>
      <c r="I239" s="46"/>
      <c r="J239" s="46"/>
      <c r="K239" s="46"/>
      <c r="L239" s="46"/>
      <c r="M239" s="46"/>
      <c r="N239" s="46"/>
      <c r="O239" s="46"/>
    </row>
    <row r="240" spans="2:15" x14ac:dyDescent="0.2">
      <c r="B240" s="46"/>
      <c r="C240" s="46"/>
      <c r="D240" s="46"/>
      <c r="E240" s="46"/>
      <c r="F240" s="46"/>
      <c r="G240" s="46"/>
      <c r="H240" s="46"/>
      <c r="I240" s="46"/>
      <c r="J240" s="46"/>
      <c r="K240" s="46"/>
      <c r="L240" s="46"/>
      <c r="M240" s="46"/>
      <c r="N240" s="46"/>
      <c r="O240" s="46"/>
    </row>
    <row r="241" spans="2:15" x14ac:dyDescent="0.2">
      <c r="B241" s="46"/>
      <c r="C241" s="46"/>
      <c r="D241" s="46"/>
      <c r="E241" s="46"/>
      <c r="F241" s="46"/>
      <c r="G241" s="46"/>
      <c r="H241" s="46"/>
      <c r="I241" s="46"/>
      <c r="J241" s="46"/>
      <c r="K241" s="46"/>
      <c r="L241" s="46"/>
      <c r="M241" s="46"/>
      <c r="N241" s="46"/>
      <c r="O241" s="46"/>
    </row>
    <row r="242" spans="2:15" x14ac:dyDescent="0.2">
      <c r="B242" s="46"/>
      <c r="C242" s="46"/>
      <c r="D242" s="46"/>
      <c r="E242" s="46"/>
      <c r="F242" s="46"/>
      <c r="G242" s="46"/>
      <c r="H242" s="46"/>
      <c r="I242" s="46"/>
      <c r="J242" s="46"/>
      <c r="K242" s="46"/>
      <c r="L242" s="46"/>
      <c r="M242" s="46"/>
      <c r="N242" s="46"/>
      <c r="O242" s="46"/>
    </row>
    <row r="243" spans="2:15" x14ac:dyDescent="0.2">
      <c r="B243" s="46"/>
      <c r="C243" s="46"/>
      <c r="D243" s="46"/>
      <c r="E243" s="46"/>
      <c r="F243" s="46"/>
      <c r="G243" s="46"/>
      <c r="H243" s="46"/>
      <c r="I243" s="46"/>
      <c r="J243" s="46"/>
      <c r="K243" s="46"/>
      <c r="L243" s="46"/>
      <c r="M243" s="46"/>
      <c r="N243" s="46"/>
      <c r="O243" s="46"/>
    </row>
    <row r="244" spans="2:15" x14ac:dyDescent="0.2">
      <c r="B244" s="46"/>
      <c r="C244" s="46"/>
      <c r="D244" s="46"/>
      <c r="E244" s="46"/>
      <c r="F244" s="46"/>
      <c r="G244" s="46"/>
      <c r="H244" s="46"/>
      <c r="I244" s="46"/>
      <c r="J244" s="46"/>
      <c r="K244" s="46"/>
      <c r="L244" s="46"/>
      <c r="M244" s="46"/>
      <c r="N244" s="46"/>
      <c r="O244" s="46"/>
    </row>
    <row r="245" spans="2:15" x14ac:dyDescent="0.2">
      <c r="B245" s="46"/>
      <c r="C245" s="46"/>
      <c r="D245" s="46"/>
      <c r="E245" s="46"/>
      <c r="F245" s="46"/>
      <c r="G245" s="46"/>
      <c r="H245" s="46"/>
      <c r="I245" s="46"/>
      <c r="J245" s="46"/>
      <c r="K245" s="46"/>
      <c r="L245" s="46"/>
      <c r="M245" s="46"/>
      <c r="N245" s="46"/>
      <c r="O245" s="46"/>
    </row>
    <row r="246" spans="2:15" x14ac:dyDescent="0.2">
      <c r="B246" s="46"/>
      <c r="C246" s="46"/>
      <c r="D246" s="46"/>
      <c r="E246" s="46"/>
      <c r="F246" s="46"/>
      <c r="G246" s="46"/>
      <c r="H246" s="46"/>
      <c r="I246" s="46"/>
      <c r="J246" s="46"/>
      <c r="K246" s="46"/>
      <c r="L246" s="46"/>
      <c r="M246" s="46"/>
      <c r="N246" s="46"/>
      <c r="O246" s="46"/>
    </row>
    <row r="247" spans="2:15" x14ac:dyDescent="0.2">
      <c r="B247" s="46"/>
      <c r="C247" s="46"/>
      <c r="D247" s="46"/>
      <c r="E247" s="46"/>
      <c r="F247" s="46"/>
      <c r="G247" s="46"/>
      <c r="H247" s="46"/>
      <c r="I247" s="46"/>
      <c r="J247" s="46"/>
      <c r="K247" s="46"/>
      <c r="L247" s="46"/>
      <c r="M247" s="46"/>
      <c r="N247" s="46"/>
      <c r="O247" s="46"/>
    </row>
    <row r="248" spans="2:15" x14ac:dyDescent="0.2">
      <c r="B248" s="46"/>
      <c r="C248" s="46"/>
      <c r="D248" s="46"/>
      <c r="E248" s="46"/>
      <c r="F248" s="46"/>
      <c r="G248" s="46"/>
      <c r="H248" s="46"/>
      <c r="I248" s="46"/>
      <c r="J248" s="46"/>
      <c r="K248" s="46"/>
      <c r="L248" s="46"/>
      <c r="M248" s="46"/>
      <c r="N248" s="46"/>
      <c r="O248" s="46"/>
    </row>
    <row r="249" spans="2:15" x14ac:dyDescent="0.2">
      <c r="B249" s="46"/>
      <c r="C249" s="46"/>
      <c r="D249" s="46"/>
      <c r="E249" s="46"/>
      <c r="F249" s="46"/>
      <c r="G249" s="46"/>
      <c r="H249" s="46"/>
      <c r="I249" s="46"/>
      <c r="J249" s="46"/>
      <c r="K249" s="46"/>
      <c r="L249" s="46"/>
      <c r="M249" s="46"/>
      <c r="N249" s="46"/>
      <c r="O249" s="46"/>
    </row>
    <row r="250" spans="2:15" x14ac:dyDescent="0.2">
      <c r="B250" s="46"/>
      <c r="C250" s="46"/>
      <c r="D250" s="46"/>
      <c r="E250" s="46"/>
      <c r="F250" s="46"/>
      <c r="G250" s="46"/>
      <c r="H250" s="46"/>
      <c r="I250" s="46"/>
      <c r="J250" s="46"/>
      <c r="K250" s="46"/>
      <c r="L250" s="46"/>
      <c r="M250" s="46"/>
      <c r="N250" s="46"/>
      <c r="O250" s="46"/>
    </row>
    <row r="251" spans="2:15" x14ac:dyDescent="0.2">
      <c r="B251" s="46"/>
      <c r="C251" s="46"/>
      <c r="D251" s="46"/>
      <c r="E251" s="46"/>
      <c r="F251" s="46"/>
      <c r="G251" s="46"/>
      <c r="H251" s="46"/>
      <c r="I251" s="46"/>
      <c r="J251" s="46"/>
      <c r="K251" s="46"/>
      <c r="L251" s="46"/>
      <c r="M251" s="46"/>
      <c r="N251" s="46"/>
      <c r="O251" s="46"/>
    </row>
    <row r="252" spans="2:15" x14ac:dyDescent="0.2">
      <c r="B252" s="46"/>
      <c r="C252" s="46"/>
      <c r="D252" s="46"/>
      <c r="E252" s="46"/>
      <c r="F252" s="46"/>
      <c r="G252" s="46"/>
      <c r="H252" s="46"/>
      <c r="I252" s="46"/>
      <c r="J252" s="46"/>
      <c r="K252" s="46"/>
      <c r="L252" s="46"/>
      <c r="M252" s="46"/>
      <c r="N252" s="46"/>
      <c r="O252" s="46"/>
    </row>
    <row r="253" spans="2:15" x14ac:dyDescent="0.2">
      <c r="B253" s="46"/>
      <c r="C253" s="46"/>
      <c r="D253" s="46"/>
      <c r="E253" s="46"/>
      <c r="F253" s="46"/>
      <c r="G253" s="46"/>
      <c r="H253" s="46"/>
      <c r="I253" s="46"/>
      <c r="J253" s="46"/>
      <c r="K253" s="46"/>
      <c r="L253" s="46"/>
      <c r="M253" s="46"/>
      <c r="N253" s="46"/>
      <c r="O253" s="46"/>
    </row>
    <row r="254" spans="2:15" x14ac:dyDescent="0.2">
      <c r="B254" s="46"/>
      <c r="C254" s="46"/>
      <c r="D254" s="46"/>
      <c r="E254" s="46"/>
      <c r="F254" s="46"/>
      <c r="G254" s="46"/>
      <c r="H254" s="46"/>
      <c r="I254" s="46"/>
      <c r="J254" s="46"/>
      <c r="K254" s="46"/>
      <c r="L254" s="46"/>
      <c r="M254" s="46"/>
      <c r="N254" s="46"/>
      <c r="O254" s="46"/>
    </row>
    <row r="255" spans="2:15" x14ac:dyDescent="0.2">
      <c r="B255" s="46"/>
      <c r="C255" s="46"/>
      <c r="D255" s="46"/>
      <c r="E255" s="46"/>
      <c r="F255" s="46"/>
      <c r="G255" s="46"/>
      <c r="H255" s="46"/>
      <c r="I255" s="46"/>
      <c r="J255" s="46"/>
      <c r="K255" s="46"/>
      <c r="L255" s="46"/>
      <c r="M255" s="46"/>
      <c r="N255" s="46"/>
      <c r="O255" s="46"/>
    </row>
    <row r="256" spans="2:15" x14ac:dyDescent="0.2">
      <c r="B256" s="46"/>
      <c r="C256" s="46"/>
      <c r="D256" s="46"/>
      <c r="E256" s="46"/>
      <c r="F256" s="46"/>
      <c r="G256" s="46"/>
      <c r="H256" s="46"/>
      <c r="I256" s="46"/>
      <c r="J256" s="46"/>
      <c r="K256" s="46"/>
      <c r="L256" s="46"/>
      <c r="M256" s="46"/>
      <c r="N256" s="46"/>
      <c r="O256" s="46"/>
    </row>
    <row r="257" spans="2:15" x14ac:dyDescent="0.2">
      <c r="B257" s="46"/>
      <c r="C257" s="46"/>
      <c r="D257" s="46"/>
      <c r="E257" s="46"/>
      <c r="F257" s="46"/>
      <c r="G257" s="46"/>
      <c r="H257" s="46"/>
      <c r="I257" s="46"/>
      <c r="J257" s="46"/>
      <c r="K257" s="46"/>
      <c r="L257" s="46"/>
      <c r="M257" s="46"/>
      <c r="N257" s="46"/>
      <c r="O257" s="46"/>
    </row>
    <row r="258" spans="2:15" x14ac:dyDescent="0.2">
      <c r="B258" s="46"/>
      <c r="C258" s="46"/>
      <c r="D258" s="46"/>
      <c r="E258" s="46"/>
      <c r="F258" s="46"/>
      <c r="G258" s="46"/>
      <c r="H258" s="46"/>
      <c r="I258" s="46"/>
      <c r="J258" s="46"/>
      <c r="K258" s="46"/>
      <c r="L258" s="46"/>
      <c r="M258" s="46"/>
      <c r="N258" s="46"/>
      <c r="O258" s="46"/>
    </row>
    <row r="259" spans="2:15" x14ac:dyDescent="0.2">
      <c r="B259" s="46"/>
      <c r="C259" s="46"/>
      <c r="D259" s="46"/>
      <c r="E259" s="46"/>
      <c r="F259" s="46"/>
      <c r="G259" s="46"/>
      <c r="H259" s="46"/>
      <c r="I259" s="46"/>
      <c r="J259" s="46"/>
      <c r="K259" s="46"/>
      <c r="L259" s="46"/>
      <c r="M259" s="46"/>
      <c r="N259" s="46"/>
      <c r="O259" s="46"/>
    </row>
    <row r="260" spans="2:15" x14ac:dyDescent="0.2">
      <c r="B260" s="46"/>
      <c r="C260" s="46"/>
      <c r="D260" s="46"/>
      <c r="E260" s="46"/>
      <c r="F260" s="46"/>
      <c r="G260" s="46"/>
      <c r="H260" s="46"/>
      <c r="I260" s="46"/>
      <c r="J260" s="46"/>
      <c r="K260" s="46"/>
      <c r="L260" s="46"/>
      <c r="M260" s="46"/>
      <c r="N260" s="46"/>
      <c r="O260" s="46"/>
    </row>
    <row r="261" spans="2:15" x14ac:dyDescent="0.2">
      <c r="B261" s="46"/>
      <c r="C261" s="46"/>
      <c r="D261" s="46"/>
      <c r="E261" s="46"/>
      <c r="F261" s="46"/>
      <c r="G261" s="46"/>
      <c r="H261" s="46"/>
      <c r="I261" s="46"/>
      <c r="J261" s="46"/>
      <c r="K261" s="46"/>
      <c r="L261" s="46"/>
      <c r="M261" s="46"/>
      <c r="N261" s="46"/>
      <c r="O261" s="46"/>
    </row>
    <row r="262" spans="2:15" x14ac:dyDescent="0.2">
      <c r="B262" s="46"/>
      <c r="C262" s="46"/>
      <c r="D262" s="46"/>
      <c r="E262" s="46"/>
      <c r="F262" s="46"/>
      <c r="G262" s="46"/>
      <c r="H262" s="46"/>
      <c r="I262" s="46"/>
      <c r="J262" s="46"/>
      <c r="K262" s="46"/>
      <c r="L262" s="46"/>
      <c r="M262" s="46"/>
      <c r="N262" s="46"/>
      <c r="O262" s="46"/>
    </row>
    <row r="263" spans="2:15" x14ac:dyDescent="0.2">
      <c r="B263" s="46"/>
      <c r="C263" s="46"/>
      <c r="D263" s="46"/>
      <c r="E263" s="46"/>
      <c r="F263" s="46"/>
      <c r="G263" s="46"/>
      <c r="H263" s="46"/>
      <c r="I263" s="46"/>
      <c r="J263" s="46"/>
      <c r="K263" s="46"/>
      <c r="L263" s="46"/>
      <c r="M263" s="46"/>
      <c r="N263" s="46"/>
      <c r="O263" s="46"/>
    </row>
    <row r="264" spans="2:15" x14ac:dyDescent="0.2">
      <c r="B264" s="46"/>
      <c r="C264" s="46"/>
      <c r="D264" s="46"/>
      <c r="E264" s="46"/>
      <c r="F264" s="46"/>
      <c r="G264" s="46"/>
      <c r="H264" s="46"/>
      <c r="I264" s="46"/>
      <c r="J264" s="46"/>
      <c r="K264" s="46"/>
      <c r="L264" s="46"/>
      <c r="M264" s="46"/>
      <c r="N264" s="46"/>
      <c r="O264" s="46"/>
    </row>
    <row r="265" spans="2:15" x14ac:dyDescent="0.2">
      <c r="B265" s="46"/>
      <c r="C265" s="46"/>
      <c r="D265" s="46"/>
      <c r="E265" s="46"/>
      <c r="F265" s="46"/>
      <c r="G265" s="46"/>
      <c r="H265" s="46"/>
      <c r="I265" s="46"/>
      <c r="J265" s="46"/>
      <c r="K265" s="46"/>
      <c r="L265" s="46"/>
      <c r="M265" s="46"/>
      <c r="N265" s="46"/>
      <c r="O265" s="46"/>
    </row>
    <row r="266" spans="2:15" x14ac:dyDescent="0.2">
      <c r="B266" s="46"/>
      <c r="C266" s="46"/>
      <c r="D266" s="46"/>
      <c r="E266" s="46"/>
      <c r="F266" s="46"/>
      <c r="G266" s="46"/>
      <c r="H266" s="46"/>
      <c r="I266" s="46"/>
      <c r="J266" s="46"/>
      <c r="K266" s="46"/>
      <c r="L266" s="46"/>
      <c r="M266" s="46"/>
      <c r="N266" s="46"/>
      <c r="O266" s="46"/>
    </row>
    <row r="267" spans="2:15" x14ac:dyDescent="0.2">
      <c r="B267" s="46"/>
      <c r="C267" s="46"/>
      <c r="D267" s="46"/>
      <c r="E267" s="46"/>
      <c r="F267" s="46"/>
      <c r="G267" s="46"/>
      <c r="H267" s="46"/>
      <c r="I267" s="46"/>
      <c r="J267" s="46"/>
      <c r="K267" s="46"/>
      <c r="L267" s="46"/>
      <c r="M267" s="46"/>
      <c r="N267" s="46"/>
      <c r="O267" s="46"/>
    </row>
    <row r="268" spans="2:15" x14ac:dyDescent="0.2">
      <c r="B268" s="46"/>
      <c r="C268" s="46"/>
      <c r="D268" s="46"/>
      <c r="E268" s="46"/>
      <c r="F268" s="46"/>
      <c r="G268" s="46"/>
      <c r="H268" s="46"/>
      <c r="I268" s="46"/>
      <c r="J268" s="46"/>
      <c r="K268" s="46"/>
      <c r="L268" s="46"/>
      <c r="M268" s="46"/>
      <c r="N268" s="46"/>
      <c r="O268" s="46"/>
    </row>
    <row r="269" spans="2:15" x14ac:dyDescent="0.2">
      <c r="B269" s="46"/>
      <c r="C269" s="46"/>
      <c r="D269" s="46"/>
      <c r="E269" s="46"/>
      <c r="F269" s="46"/>
      <c r="G269" s="46"/>
      <c r="H269" s="46"/>
      <c r="I269" s="46"/>
      <c r="J269" s="46"/>
      <c r="K269" s="46"/>
      <c r="L269" s="46"/>
      <c r="M269" s="46"/>
      <c r="N269" s="46"/>
      <c r="O269" s="46"/>
    </row>
    <row r="270" spans="2:15" x14ac:dyDescent="0.2">
      <c r="B270" s="46"/>
      <c r="C270" s="46"/>
      <c r="D270" s="46"/>
      <c r="E270" s="46"/>
      <c r="F270" s="46"/>
      <c r="G270" s="46"/>
      <c r="H270" s="46"/>
      <c r="I270" s="46"/>
      <c r="J270" s="46"/>
      <c r="K270" s="46"/>
      <c r="L270" s="46"/>
      <c r="M270" s="46"/>
      <c r="N270" s="46"/>
      <c r="O270" s="46"/>
    </row>
    <row r="271" spans="2:15" x14ac:dyDescent="0.2">
      <c r="B271" s="46"/>
      <c r="C271" s="46"/>
      <c r="D271" s="46"/>
      <c r="E271" s="46"/>
      <c r="F271" s="46"/>
      <c r="G271" s="46"/>
      <c r="H271" s="46"/>
      <c r="I271" s="46"/>
      <c r="J271" s="46"/>
      <c r="K271" s="46"/>
      <c r="L271" s="46"/>
      <c r="M271" s="46"/>
      <c r="N271" s="46"/>
      <c r="O271" s="46"/>
    </row>
    <row r="272" spans="2:15" x14ac:dyDescent="0.2">
      <c r="B272" s="46"/>
      <c r="C272" s="46"/>
      <c r="D272" s="46"/>
      <c r="E272" s="46"/>
      <c r="F272" s="46"/>
      <c r="G272" s="46"/>
      <c r="H272" s="46"/>
      <c r="I272" s="46"/>
      <c r="J272" s="46"/>
      <c r="K272" s="46"/>
      <c r="L272" s="46"/>
      <c r="M272" s="46"/>
      <c r="N272" s="46"/>
      <c r="O272" s="46"/>
    </row>
    <row r="273" spans="2:15" x14ac:dyDescent="0.2">
      <c r="B273" s="46"/>
      <c r="C273" s="46"/>
      <c r="D273" s="46"/>
      <c r="E273" s="46"/>
      <c r="F273" s="46"/>
      <c r="G273" s="46"/>
      <c r="H273" s="46"/>
      <c r="I273" s="46"/>
      <c r="J273" s="46"/>
      <c r="K273" s="46"/>
      <c r="L273" s="46"/>
      <c r="M273" s="46"/>
      <c r="N273" s="46"/>
      <c r="O273" s="46"/>
    </row>
    <row r="274" spans="2:15" x14ac:dyDescent="0.2">
      <c r="B274" s="46"/>
      <c r="C274" s="46"/>
      <c r="D274" s="46"/>
      <c r="E274" s="46"/>
      <c r="F274" s="46"/>
      <c r="G274" s="46"/>
      <c r="H274" s="46"/>
      <c r="I274" s="46"/>
      <c r="J274" s="46"/>
      <c r="K274" s="46"/>
      <c r="L274" s="46"/>
      <c r="M274" s="46"/>
      <c r="N274" s="46"/>
      <c r="O274" s="46"/>
    </row>
    <row r="275" spans="2:15" x14ac:dyDescent="0.2">
      <c r="B275" s="46"/>
      <c r="C275" s="46"/>
      <c r="D275" s="46"/>
      <c r="E275" s="46"/>
      <c r="F275" s="46"/>
      <c r="G275" s="46"/>
      <c r="H275" s="46"/>
      <c r="I275" s="46"/>
      <c r="J275" s="46"/>
      <c r="K275" s="46"/>
      <c r="L275" s="46"/>
      <c r="M275" s="46"/>
      <c r="N275" s="46"/>
      <c r="O275" s="46"/>
    </row>
    <row r="276" spans="2:15" x14ac:dyDescent="0.2">
      <c r="B276" s="46"/>
      <c r="C276" s="46"/>
      <c r="D276" s="46"/>
      <c r="E276" s="46"/>
      <c r="F276" s="46"/>
      <c r="G276" s="46"/>
      <c r="H276" s="46"/>
      <c r="I276" s="46"/>
      <c r="J276" s="46"/>
      <c r="K276" s="46"/>
      <c r="L276" s="46"/>
      <c r="M276" s="46"/>
      <c r="N276" s="46"/>
      <c r="O276" s="46"/>
    </row>
    <row r="277" spans="2:15" x14ac:dyDescent="0.2">
      <c r="B277" s="46"/>
      <c r="C277" s="46"/>
      <c r="D277" s="46"/>
      <c r="E277" s="46"/>
      <c r="F277" s="46"/>
      <c r="G277" s="46"/>
      <c r="H277" s="46"/>
      <c r="I277" s="46"/>
      <c r="J277" s="46"/>
      <c r="K277" s="46"/>
      <c r="L277" s="46"/>
      <c r="M277" s="46"/>
      <c r="N277" s="46"/>
      <c r="O277" s="46"/>
    </row>
    <row r="278" spans="2:15" x14ac:dyDescent="0.2">
      <c r="B278" s="46"/>
      <c r="C278" s="46"/>
      <c r="D278" s="46"/>
      <c r="E278" s="46"/>
      <c r="F278" s="46"/>
      <c r="G278" s="46"/>
      <c r="H278" s="46"/>
      <c r="I278" s="46"/>
      <c r="J278" s="46"/>
      <c r="K278" s="46"/>
      <c r="L278" s="46"/>
      <c r="M278" s="46"/>
      <c r="N278" s="46"/>
      <c r="O278" s="46"/>
    </row>
    <row r="279" spans="2:15" x14ac:dyDescent="0.2">
      <c r="B279" s="46"/>
      <c r="C279" s="46"/>
      <c r="D279" s="46"/>
      <c r="E279" s="46"/>
      <c r="F279" s="46"/>
      <c r="G279" s="46"/>
      <c r="H279" s="46"/>
      <c r="I279" s="46"/>
      <c r="J279" s="46"/>
      <c r="K279" s="46"/>
      <c r="L279" s="46"/>
      <c r="M279" s="46"/>
      <c r="N279" s="46"/>
      <c r="O279" s="46"/>
    </row>
    <row r="280" spans="2:15" x14ac:dyDescent="0.2">
      <c r="B280" s="46"/>
      <c r="C280" s="46"/>
      <c r="D280" s="46"/>
      <c r="E280" s="46"/>
      <c r="F280" s="46"/>
      <c r="G280" s="46"/>
      <c r="H280" s="46"/>
      <c r="I280" s="46"/>
      <c r="J280" s="46"/>
      <c r="K280" s="46"/>
      <c r="L280" s="46"/>
      <c r="M280" s="46"/>
      <c r="N280" s="46"/>
      <c r="O280" s="46"/>
    </row>
    <row r="281" spans="2:15" x14ac:dyDescent="0.2">
      <c r="B281" s="46"/>
      <c r="C281" s="46"/>
      <c r="D281" s="46"/>
      <c r="E281" s="46"/>
      <c r="F281" s="46"/>
      <c r="G281" s="46"/>
      <c r="H281" s="46"/>
      <c r="I281" s="46"/>
      <c r="J281" s="46"/>
      <c r="K281" s="46"/>
      <c r="L281" s="46"/>
      <c r="M281" s="46"/>
      <c r="N281" s="46"/>
      <c r="O281" s="46"/>
    </row>
    <row r="282" spans="2:15" x14ac:dyDescent="0.2">
      <c r="B282" s="46"/>
      <c r="C282" s="46"/>
      <c r="D282" s="46"/>
      <c r="E282" s="46"/>
      <c r="F282" s="46"/>
      <c r="G282" s="46"/>
      <c r="H282" s="46"/>
      <c r="I282" s="46"/>
      <c r="J282" s="46"/>
      <c r="K282" s="46"/>
      <c r="L282" s="46"/>
      <c r="M282" s="46"/>
      <c r="N282" s="46"/>
      <c r="O282" s="46"/>
    </row>
    <row r="283" spans="2:15" x14ac:dyDescent="0.2">
      <c r="B283" s="46"/>
      <c r="C283" s="46"/>
      <c r="D283" s="46"/>
      <c r="E283" s="46"/>
      <c r="F283" s="46"/>
      <c r="G283" s="46"/>
      <c r="H283" s="46"/>
      <c r="I283" s="46"/>
      <c r="J283" s="46"/>
      <c r="K283" s="46"/>
      <c r="L283" s="46"/>
      <c r="M283" s="46"/>
      <c r="N283" s="46"/>
      <c r="O283" s="46"/>
    </row>
    <row r="284" spans="2:15" x14ac:dyDescent="0.2">
      <c r="B284" s="46"/>
      <c r="C284" s="46"/>
      <c r="D284" s="46"/>
      <c r="E284" s="46"/>
      <c r="F284" s="46"/>
      <c r="G284" s="46"/>
      <c r="H284" s="46"/>
      <c r="I284" s="46"/>
      <c r="J284" s="46"/>
      <c r="K284" s="46"/>
      <c r="L284" s="46"/>
      <c r="M284" s="46"/>
      <c r="N284" s="46"/>
      <c r="O284" s="46"/>
    </row>
    <row r="285" spans="2:15" x14ac:dyDescent="0.2">
      <c r="B285" s="46"/>
      <c r="C285" s="46"/>
      <c r="D285" s="46"/>
      <c r="E285" s="46"/>
      <c r="F285" s="46"/>
      <c r="G285" s="46"/>
      <c r="H285" s="46"/>
      <c r="I285" s="46"/>
      <c r="J285" s="46"/>
      <c r="K285" s="46"/>
      <c r="L285" s="46"/>
      <c r="M285" s="46"/>
      <c r="N285" s="46"/>
      <c r="O285" s="46"/>
    </row>
    <row r="286" spans="2:15" x14ac:dyDescent="0.2">
      <c r="B286" s="46"/>
      <c r="C286" s="46"/>
      <c r="D286" s="46"/>
      <c r="E286" s="46"/>
      <c r="F286" s="46"/>
      <c r="G286" s="46"/>
      <c r="H286" s="46"/>
      <c r="I286" s="46"/>
      <c r="J286" s="46"/>
      <c r="K286" s="46"/>
      <c r="L286" s="46"/>
      <c r="M286" s="46"/>
      <c r="N286" s="46"/>
      <c r="O286" s="46"/>
    </row>
    <row r="287" spans="2:15" x14ac:dyDescent="0.2">
      <c r="B287" s="46"/>
      <c r="C287" s="46"/>
      <c r="D287" s="46"/>
      <c r="E287" s="46"/>
      <c r="F287" s="46"/>
      <c r="G287" s="46"/>
      <c r="H287" s="46"/>
      <c r="I287" s="46"/>
      <c r="J287" s="46"/>
      <c r="K287" s="46"/>
      <c r="L287" s="46"/>
      <c r="M287" s="46"/>
      <c r="N287" s="46"/>
      <c r="O287" s="46"/>
    </row>
    <row r="288" spans="2:15" x14ac:dyDescent="0.2">
      <c r="B288" s="46"/>
      <c r="C288" s="46"/>
      <c r="D288" s="46"/>
      <c r="E288" s="46"/>
      <c r="F288" s="46"/>
      <c r="G288" s="46"/>
      <c r="H288" s="46"/>
      <c r="I288" s="46"/>
      <c r="J288" s="46"/>
      <c r="K288" s="46"/>
      <c r="L288" s="46"/>
      <c r="M288" s="46"/>
      <c r="N288" s="46"/>
      <c r="O288" s="46"/>
    </row>
    <row r="289" spans="2:15" x14ac:dyDescent="0.2">
      <c r="B289" s="46"/>
      <c r="C289" s="46"/>
      <c r="D289" s="46"/>
      <c r="E289" s="46"/>
      <c r="F289" s="46"/>
      <c r="G289" s="46"/>
      <c r="H289" s="46"/>
      <c r="I289" s="46"/>
      <c r="J289" s="46"/>
      <c r="K289" s="46"/>
      <c r="L289" s="46"/>
      <c r="M289" s="46"/>
      <c r="N289" s="46"/>
      <c r="O289" s="46"/>
    </row>
    <row r="290" spans="2:15" x14ac:dyDescent="0.2">
      <c r="B290" s="46"/>
      <c r="C290" s="46"/>
      <c r="D290" s="46"/>
      <c r="E290" s="46"/>
      <c r="F290" s="46"/>
      <c r="G290" s="46"/>
      <c r="H290" s="46"/>
      <c r="I290" s="46"/>
      <c r="J290" s="46"/>
      <c r="K290" s="46"/>
      <c r="L290" s="46"/>
      <c r="M290" s="46"/>
      <c r="N290" s="46"/>
      <c r="O290" s="46"/>
    </row>
    <row r="291" spans="2:15" x14ac:dyDescent="0.2">
      <c r="B291" s="46"/>
      <c r="C291" s="46"/>
      <c r="D291" s="46"/>
      <c r="E291" s="46"/>
      <c r="F291" s="46"/>
      <c r="G291" s="46"/>
      <c r="H291" s="46"/>
      <c r="I291" s="46"/>
      <c r="J291" s="46"/>
      <c r="K291" s="46"/>
      <c r="L291" s="46"/>
      <c r="M291" s="46"/>
      <c r="N291" s="46"/>
      <c r="O291" s="46"/>
    </row>
    <row r="292" spans="2:15" x14ac:dyDescent="0.2">
      <c r="B292" s="46"/>
      <c r="C292" s="46"/>
      <c r="D292" s="46"/>
      <c r="E292" s="46"/>
      <c r="F292" s="46"/>
      <c r="G292" s="46"/>
      <c r="H292" s="46"/>
      <c r="I292" s="46"/>
      <c r="J292" s="46"/>
      <c r="K292" s="46"/>
      <c r="L292" s="46"/>
      <c r="M292" s="46"/>
      <c r="N292" s="46"/>
      <c r="O292" s="46"/>
    </row>
    <row r="293" spans="2:15" x14ac:dyDescent="0.2">
      <c r="B293" s="46"/>
      <c r="C293" s="46"/>
      <c r="D293" s="46"/>
      <c r="E293" s="46"/>
      <c r="F293" s="46"/>
      <c r="G293" s="46"/>
      <c r="H293" s="46"/>
      <c r="I293" s="46"/>
      <c r="J293" s="46"/>
      <c r="K293" s="46"/>
      <c r="L293" s="46"/>
      <c r="M293" s="46"/>
      <c r="N293" s="46"/>
      <c r="O293" s="46"/>
    </row>
    <row r="294" spans="2:15" x14ac:dyDescent="0.2">
      <c r="B294" s="46"/>
      <c r="C294" s="46"/>
      <c r="D294" s="46"/>
      <c r="E294" s="46"/>
      <c r="F294" s="46"/>
      <c r="G294" s="46"/>
      <c r="H294" s="46"/>
      <c r="I294" s="46"/>
      <c r="J294" s="46"/>
      <c r="K294" s="46"/>
      <c r="L294" s="46"/>
      <c r="M294" s="46"/>
      <c r="N294" s="46"/>
      <c r="O294" s="46"/>
    </row>
    <row r="295" spans="2:15" x14ac:dyDescent="0.2">
      <c r="B295" s="46"/>
      <c r="C295" s="46"/>
      <c r="D295" s="46"/>
      <c r="E295" s="46"/>
      <c r="F295" s="46"/>
      <c r="G295" s="46"/>
      <c r="H295" s="46"/>
      <c r="I295" s="46"/>
      <c r="J295" s="46"/>
      <c r="K295" s="46"/>
      <c r="L295" s="46"/>
      <c r="M295" s="46"/>
      <c r="N295" s="46"/>
      <c r="O295" s="46"/>
    </row>
    <row r="296" spans="2:15" x14ac:dyDescent="0.2">
      <c r="B296" s="46"/>
      <c r="C296" s="46"/>
      <c r="D296" s="46"/>
      <c r="E296" s="46"/>
      <c r="F296" s="46"/>
      <c r="G296" s="46"/>
      <c r="H296" s="46"/>
      <c r="I296" s="46"/>
      <c r="J296" s="46"/>
      <c r="K296" s="46"/>
      <c r="L296" s="46"/>
      <c r="M296" s="46"/>
      <c r="N296" s="46"/>
      <c r="O296" s="46"/>
    </row>
    <row r="297" spans="2:15" x14ac:dyDescent="0.2">
      <c r="B297" s="46"/>
      <c r="C297" s="46"/>
      <c r="D297" s="46"/>
      <c r="E297" s="46"/>
      <c r="F297" s="46"/>
      <c r="G297" s="46"/>
      <c r="H297" s="46"/>
      <c r="I297" s="46"/>
      <c r="J297" s="46"/>
      <c r="K297" s="46"/>
      <c r="L297" s="46"/>
      <c r="M297" s="46"/>
      <c r="N297" s="46"/>
      <c r="O297" s="46"/>
    </row>
    <row r="298" spans="2:15" x14ac:dyDescent="0.2">
      <c r="B298" s="46"/>
      <c r="C298" s="46"/>
      <c r="D298" s="46"/>
      <c r="E298" s="46"/>
      <c r="F298" s="46"/>
      <c r="G298" s="46"/>
      <c r="H298" s="46"/>
      <c r="I298" s="46"/>
      <c r="J298" s="46"/>
      <c r="K298" s="46"/>
      <c r="L298" s="46"/>
      <c r="M298" s="46"/>
      <c r="N298" s="46"/>
      <c r="O298" s="46"/>
    </row>
    <row r="299" spans="2:15" x14ac:dyDescent="0.2">
      <c r="B299" s="46"/>
      <c r="C299" s="46"/>
      <c r="D299" s="46"/>
      <c r="E299" s="46"/>
      <c r="F299" s="46"/>
      <c r="G299" s="46"/>
      <c r="H299" s="46"/>
      <c r="I299" s="46"/>
      <c r="J299" s="46"/>
      <c r="K299" s="46"/>
      <c r="L299" s="46"/>
      <c r="M299" s="46"/>
      <c r="N299" s="46"/>
      <c r="O299" s="46"/>
    </row>
    <row r="300" spans="2:15" x14ac:dyDescent="0.2">
      <c r="B300" s="46"/>
      <c r="C300" s="46"/>
      <c r="D300" s="46"/>
      <c r="E300" s="46"/>
      <c r="F300" s="46"/>
      <c r="G300" s="46"/>
      <c r="H300" s="46"/>
      <c r="I300" s="46"/>
      <c r="J300" s="46"/>
      <c r="K300" s="46"/>
      <c r="L300" s="46"/>
      <c r="M300" s="46"/>
      <c r="N300" s="46"/>
      <c r="O300" s="46"/>
    </row>
    <row r="301" spans="2:15" x14ac:dyDescent="0.2">
      <c r="B301" s="46"/>
      <c r="C301" s="46"/>
      <c r="D301" s="46"/>
      <c r="E301" s="46"/>
      <c r="F301" s="46"/>
      <c r="G301" s="46"/>
      <c r="H301" s="46"/>
      <c r="I301" s="46"/>
      <c r="J301" s="46"/>
      <c r="K301" s="46"/>
      <c r="L301" s="46"/>
      <c r="M301" s="46"/>
      <c r="N301" s="46"/>
      <c r="O301" s="46"/>
    </row>
    <row r="302" spans="2:15" x14ac:dyDescent="0.2">
      <c r="B302" s="46"/>
      <c r="C302" s="46"/>
      <c r="D302" s="46"/>
      <c r="E302" s="46"/>
      <c r="F302" s="46"/>
      <c r="G302" s="46"/>
      <c r="H302" s="46"/>
      <c r="I302" s="46"/>
      <c r="J302" s="46"/>
      <c r="K302" s="46"/>
      <c r="L302" s="46"/>
      <c r="M302" s="46"/>
      <c r="N302" s="46"/>
      <c r="O302" s="46"/>
    </row>
    <row r="303" spans="2:15" x14ac:dyDescent="0.2">
      <c r="B303" s="46"/>
      <c r="C303" s="46"/>
      <c r="D303" s="46"/>
      <c r="E303" s="46"/>
      <c r="F303" s="46"/>
      <c r="G303" s="46"/>
      <c r="H303" s="46"/>
      <c r="I303" s="46"/>
      <c r="J303" s="46"/>
      <c r="K303" s="46"/>
      <c r="L303" s="46"/>
      <c r="M303" s="46"/>
      <c r="N303" s="46"/>
      <c r="O303" s="46"/>
    </row>
    <row r="304" spans="2:15" x14ac:dyDescent="0.2">
      <c r="B304" s="46"/>
      <c r="C304" s="46"/>
      <c r="D304" s="46"/>
      <c r="E304" s="46"/>
      <c r="F304" s="46"/>
      <c r="G304" s="46"/>
      <c r="H304" s="46"/>
      <c r="I304" s="46"/>
      <c r="J304" s="46"/>
      <c r="K304" s="46"/>
      <c r="L304" s="46"/>
      <c r="M304" s="46"/>
      <c r="N304" s="46"/>
      <c r="O304" s="46"/>
    </row>
    <row r="305" spans="2:15" x14ac:dyDescent="0.2">
      <c r="B305" s="46"/>
      <c r="C305" s="46"/>
      <c r="D305" s="46"/>
      <c r="E305" s="46"/>
      <c r="F305" s="46"/>
      <c r="G305" s="46"/>
      <c r="H305" s="46"/>
      <c r="I305" s="46"/>
      <c r="J305" s="46"/>
      <c r="K305" s="46"/>
      <c r="L305" s="46"/>
      <c r="M305" s="46"/>
      <c r="N305" s="46"/>
      <c r="O305" s="46"/>
    </row>
    <row r="306" spans="2:15" x14ac:dyDescent="0.2">
      <c r="B306" s="46"/>
      <c r="C306" s="46"/>
      <c r="D306" s="46"/>
      <c r="E306" s="46"/>
      <c r="F306" s="46"/>
      <c r="G306" s="46"/>
      <c r="H306" s="46"/>
      <c r="I306" s="46"/>
      <c r="J306" s="46"/>
      <c r="K306" s="46"/>
      <c r="L306" s="46"/>
      <c r="M306" s="46"/>
      <c r="N306" s="46"/>
      <c r="O306" s="46"/>
    </row>
    <row r="307" spans="2:15" x14ac:dyDescent="0.2">
      <c r="B307" s="46"/>
      <c r="C307" s="46"/>
      <c r="D307" s="46"/>
      <c r="E307" s="46"/>
      <c r="F307" s="46"/>
      <c r="G307" s="46"/>
      <c r="H307" s="46"/>
      <c r="I307" s="46"/>
      <c r="J307" s="46"/>
      <c r="K307" s="46"/>
      <c r="L307" s="46"/>
      <c r="M307" s="46"/>
      <c r="N307" s="46"/>
      <c r="O307" s="46"/>
    </row>
    <row r="308" spans="2:15" x14ac:dyDescent="0.2">
      <c r="B308" s="46"/>
      <c r="C308" s="46"/>
      <c r="D308" s="46"/>
      <c r="E308" s="46"/>
      <c r="F308" s="46"/>
      <c r="G308" s="46"/>
      <c r="H308" s="46"/>
      <c r="I308" s="46"/>
      <c r="J308" s="46"/>
      <c r="K308" s="46"/>
      <c r="L308" s="46"/>
      <c r="M308" s="46"/>
      <c r="N308" s="46"/>
      <c r="O308" s="46"/>
    </row>
    <row r="309" spans="2:15" x14ac:dyDescent="0.2">
      <c r="B309" s="46"/>
      <c r="C309" s="46"/>
      <c r="D309" s="46"/>
      <c r="E309" s="46"/>
      <c r="F309" s="46"/>
      <c r="G309" s="46"/>
      <c r="H309" s="46"/>
      <c r="I309" s="46"/>
      <c r="J309" s="46"/>
      <c r="K309" s="46"/>
      <c r="L309" s="46"/>
      <c r="M309" s="46"/>
      <c r="N309" s="46"/>
      <c r="O309" s="46"/>
    </row>
    <row r="310" spans="2:15" x14ac:dyDescent="0.2">
      <c r="B310" s="46"/>
      <c r="C310" s="46"/>
      <c r="D310" s="46"/>
      <c r="E310" s="46"/>
      <c r="F310" s="46"/>
      <c r="G310" s="46"/>
      <c r="H310" s="46"/>
      <c r="I310" s="46"/>
      <c r="J310" s="46"/>
      <c r="K310" s="46"/>
      <c r="L310" s="46"/>
      <c r="M310" s="46"/>
      <c r="N310" s="46"/>
      <c r="O310" s="46"/>
    </row>
    <row r="311" spans="2:15" x14ac:dyDescent="0.2">
      <c r="B311" s="46"/>
      <c r="C311" s="46"/>
      <c r="D311" s="46"/>
      <c r="E311" s="46"/>
      <c r="F311" s="46"/>
      <c r="G311" s="46"/>
      <c r="H311" s="46"/>
      <c r="I311" s="46"/>
      <c r="J311" s="46"/>
      <c r="K311" s="46"/>
      <c r="L311" s="46"/>
      <c r="M311" s="46"/>
      <c r="N311" s="46"/>
      <c r="O311" s="46"/>
    </row>
    <row r="312" spans="2:15" x14ac:dyDescent="0.2">
      <c r="B312" s="46"/>
      <c r="C312" s="46"/>
      <c r="D312" s="46"/>
      <c r="E312" s="46"/>
      <c r="F312" s="46"/>
      <c r="G312" s="46"/>
      <c r="H312" s="46"/>
      <c r="I312" s="46"/>
      <c r="J312" s="46"/>
      <c r="K312" s="46"/>
      <c r="L312" s="46"/>
      <c r="M312" s="46"/>
      <c r="N312" s="46"/>
      <c r="O312" s="46"/>
    </row>
    <row r="313" spans="2:15" x14ac:dyDescent="0.2">
      <c r="B313" s="46"/>
      <c r="C313" s="46"/>
      <c r="D313" s="46"/>
      <c r="E313" s="46"/>
      <c r="F313" s="46"/>
      <c r="G313" s="46"/>
      <c r="H313" s="46"/>
      <c r="I313" s="46"/>
      <c r="J313" s="46"/>
      <c r="K313" s="46"/>
      <c r="L313" s="46"/>
      <c r="M313" s="46"/>
      <c r="N313" s="46"/>
      <c r="O313" s="46"/>
    </row>
    <row r="314" spans="2:15" x14ac:dyDescent="0.2">
      <c r="B314" s="46"/>
      <c r="C314" s="46"/>
      <c r="D314" s="46"/>
      <c r="E314" s="46"/>
      <c r="F314" s="46"/>
      <c r="G314" s="46"/>
      <c r="H314" s="46"/>
      <c r="I314" s="46"/>
      <c r="J314" s="46"/>
      <c r="K314" s="46"/>
      <c r="L314" s="46"/>
      <c r="M314" s="46"/>
      <c r="N314" s="46"/>
      <c r="O314" s="46"/>
    </row>
    <row r="315" spans="2:15" x14ac:dyDescent="0.2">
      <c r="B315" s="46"/>
      <c r="C315" s="46"/>
      <c r="D315" s="46"/>
      <c r="E315" s="46"/>
      <c r="F315" s="46"/>
      <c r="G315" s="46"/>
      <c r="H315" s="46"/>
      <c r="I315" s="46"/>
      <c r="J315" s="46"/>
      <c r="K315" s="46"/>
      <c r="L315" s="46"/>
      <c r="M315" s="46"/>
      <c r="N315" s="46"/>
      <c r="O315" s="46"/>
    </row>
    <row r="316" spans="2:15" x14ac:dyDescent="0.2">
      <c r="B316" s="46"/>
      <c r="C316" s="46"/>
      <c r="D316" s="46"/>
      <c r="E316" s="46"/>
      <c r="F316" s="46"/>
      <c r="G316" s="46"/>
      <c r="H316" s="46"/>
      <c r="I316" s="46"/>
      <c r="J316" s="46"/>
      <c r="K316" s="46"/>
      <c r="L316" s="46"/>
      <c r="M316" s="46"/>
      <c r="N316" s="46"/>
      <c r="O316" s="46"/>
    </row>
    <row r="317" spans="2:15" x14ac:dyDescent="0.2">
      <c r="B317" s="46"/>
      <c r="C317" s="46"/>
      <c r="D317" s="46"/>
      <c r="E317" s="46"/>
      <c r="F317" s="46"/>
      <c r="G317" s="46"/>
      <c r="H317" s="46"/>
      <c r="I317" s="46"/>
      <c r="J317" s="46"/>
      <c r="K317" s="46"/>
      <c r="L317" s="46"/>
      <c r="M317" s="46"/>
      <c r="N317" s="46"/>
      <c r="O317" s="46"/>
    </row>
    <row r="318" spans="2:15" x14ac:dyDescent="0.2">
      <c r="B318" s="46"/>
      <c r="C318" s="46"/>
      <c r="D318" s="46"/>
      <c r="E318" s="46"/>
      <c r="F318" s="46"/>
      <c r="G318" s="46"/>
      <c r="H318" s="46"/>
      <c r="I318" s="46"/>
      <c r="J318" s="46"/>
      <c r="K318" s="46"/>
      <c r="L318" s="46"/>
      <c r="M318" s="46"/>
      <c r="N318" s="46"/>
      <c r="O318" s="46"/>
    </row>
    <row r="319" spans="2:15" x14ac:dyDescent="0.2">
      <c r="B319" s="46"/>
      <c r="C319" s="46"/>
      <c r="D319" s="46"/>
      <c r="E319" s="46"/>
      <c r="F319" s="46"/>
      <c r="G319" s="46"/>
      <c r="H319" s="46"/>
      <c r="I319" s="46"/>
      <c r="J319" s="46"/>
      <c r="K319" s="46"/>
      <c r="L319" s="46"/>
      <c r="M319" s="46"/>
      <c r="N319" s="46"/>
      <c r="O319" s="46"/>
    </row>
    <row r="320" spans="2:15" x14ac:dyDescent="0.2">
      <c r="B320" s="46"/>
      <c r="C320" s="46"/>
      <c r="D320" s="46"/>
      <c r="E320" s="46"/>
      <c r="F320" s="46"/>
      <c r="G320" s="46"/>
      <c r="H320" s="46"/>
      <c r="I320" s="46"/>
      <c r="J320" s="46"/>
      <c r="K320" s="46"/>
      <c r="L320" s="46"/>
      <c r="M320" s="46"/>
      <c r="N320" s="46"/>
      <c r="O320" s="46"/>
    </row>
    <row r="321" spans="2:15" x14ac:dyDescent="0.2">
      <c r="B321" s="46"/>
      <c r="C321" s="46"/>
      <c r="D321" s="46"/>
      <c r="E321" s="46"/>
      <c r="F321" s="46"/>
      <c r="G321" s="46"/>
      <c r="H321" s="46"/>
      <c r="I321" s="46"/>
      <c r="J321" s="46"/>
      <c r="K321" s="46"/>
      <c r="L321" s="46"/>
      <c r="M321" s="46"/>
      <c r="N321" s="46"/>
      <c r="O321" s="46"/>
    </row>
    <row r="322" spans="2:15" x14ac:dyDescent="0.2">
      <c r="B322" s="46"/>
      <c r="C322" s="46"/>
      <c r="D322" s="46"/>
      <c r="E322" s="46"/>
      <c r="F322" s="46"/>
      <c r="G322" s="46"/>
      <c r="H322" s="46"/>
      <c r="I322" s="46"/>
      <c r="J322" s="46"/>
      <c r="K322" s="46"/>
      <c r="L322" s="46"/>
      <c r="M322" s="46"/>
      <c r="N322" s="46"/>
      <c r="O322" s="46"/>
    </row>
    <row r="323" spans="2:15" x14ac:dyDescent="0.2">
      <c r="B323" s="46"/>
      <c r="C323" s="46"/>
      <c r="D323" s="46"/>
      <c r="E323" s="46"/>
      <c r="F323" s="46"/>
      <c r="G323" s="46"/>
      <c r="H323" s="46"/>
      <c r="I323" s="46"/>
      <c r="J323" s="46"/>
      <c r="K323" s="46"/>
      <c r="L323" s="46"/>
      <c r="M323" s="46"/>
      <c r="N323" s="46"/>
      <c r="O323" s="46"/>
    </row>
    <row r="324" spans="2:15" x14ac:dyDescent="0.2">
      <c r="B324" s="46"/>
      <c r="C324" s="46"/>
      <c r="D324" s="46"/>
      <c r="E324" s="46"/>
      <c r="F324" s="46"/>
      <c r="G324" s="46"/>
      <c r="H324" s="46"/>
      <c r="I324" s="46"/>
      <c r="J324" s="46"/>
      <c r="K324" s="46"/>
      <c r="L324" s="46"/>
      <c r="M324" s="46"/>
      <c r="N324" s="46"/>
      <c r="O324" s="46"/>
    </row>
    <row r="325" spans="2:15" x14ac:dyDescent="0.2">
      <c r="B325" s="46"/>
      <c r="C325" s="46"/>
      <c r="D325" s="46"/>
      <c r="E325" s="46"/>
      <c r="F325" s="46"/>
      <c r="G325" s="46"/>
      <c r="H325" s="46"/>
      <c r="I325" s="46"/>
      <c r="J325" s="46"/>
      <c r="K325" s="46"/>
      <c r="L325" s="46"/>
      <c r="M325" s="46"/>
      <c r="N325" s="46"/>
      <c r="O325" s="46"/>
    </row>
    <row r="326" spans="2:15" x14ac:dyDescent="0.2">
      <c r="B326" s="46"/>
      <c r="C326" s="46"/>
      <c r="D326" s="46"/>
      <c r="E326" s="46"/>
      <c r="F326" s="46"/>
      <c r="G326" s="46"/>
      <c r="H326" s="46"/>
      <c r="I326" s="46"/>
      <c r="J326" s="46"/>
      <c r="K326" s="46"/>
      <c r="L326" s="46"/>
      <c r="M326" s="46"/>
      <c r="N326" s="46"/>
      <c r="O326" s="46"/>
    </row>
    <row r="327" spans="2:15" x14ac:dyDescent="0.2">
      <c r="B327" s="46"/>
      <c r="C327" s="46"/>
      <c r="D327" s="46"/>
      <c r="E327" s="46"/>
      <c r="F327" s="46"/>
      <c r="G327" s="46"/>
      <c r="H327" s="46"/>
      <c r="I327" s="46"/>
      <c r="J327" s="46"/>
      <c r="K327" s="46"/>
      <c r="L327" s="46"/>
      <c r="M327" s="46"/>
      <c r="N327" s="46"/>
      <c r="O327" s="46"/>
    </row>
    <row r="328" spans="2:15" x14ac:dyDescent="0.2">
      <c r="B328" s="46"/>
      <c r="C328" s="46"/>
      <c r="D328" s="46"/>
      <c r="E328" s="46"/>
      <c r="F328" s="46"/>
      <c r="G328" s="46"/>
      <c r="H328" s="46"/>
      <c r="I328" s="46"/>
      <c r="J328" s="46"/>
      <c r="K328" s="46"/>
      <c r="L328" s="46"/>
      <c r="M328" s="46"/>
      <c r="N328" s="46"/>
      <c r="O328" s="46"/>
    </row>
    <row r="329" spans="2:15" x14ac:dyDescent="0.2">
      <c r="B329" s="46"/>
      <c r="C329" s="46"/>
      <c r="D329" s="46"/>
      <c r="E329" s="46"/>
      <c r="F329" s="46"/>
      <c r="G329" s="46"/>
      <c r="H329" s="46"/>
      <c r="I329" s="46"/>
      <c r="J329" s="46"/>
      <c r="K329" s="46"/>
      <c r="L329" s="46"/>
      <c r="M329" s="46"/>
      <c r="N329" s="46"/>
      <c r="O329" s="46"/>
    </row>
    <row r="330" spans="2:15" x14ac:dyDescent="0.2">
      <c r="B330" s="46"/>
      <c r="C330" s="46"/>
      <c r="D330" s="46"/>
      <c r="E330" s="46"/>
      <c r="F330" s="46"/>
      <c r="G330" s="46"/>
      <c r="H330" s="46"/>
      <c r="I330" s="46"/>
      <c r="J330" s="46"/>
      <c r="K330" s="46"/>
      <c r="L330" s="46"/>
      <c r="M330" s="46"/>
      <c r="N330" s="46"/>
      <c r="O330" s="46"/>
    </row>
    <row r="331" spans="2:15" x14ac:dyDescent="0.2">
      <c r="B331" s="46"/>
      <c r="C331" s="46"/>
      <c r="D331" s="46"/>
      <c r="E331" s="46"/>
      <c r="F331" s="46"/>
      <c r="G331" s="46"/>
      <c r="H331" s="46"/>
      <c r="I331" s="46"/>
      <c r="J331" s="46"/>
      <c r="K331" s="46"/>
      <c r="L331" s="46"/>
      <c r="M331" s="46"/>
      <c r="N331" s="46"/>
      <c r="O331" s="46"/>
    </row>
    <row r="332" spans="2:15" x14ac:dyDescent="0.2">
      <c r="B332" s="46"/>
      <c r="C332" s="46"/>
      <c r="D332" s="46"/>
      <c r="E332" s="46"/>
      <c r="F332" s="46"/>
      <c r="G332" s="46"/>
      <c r="H332" s="46"/>
      <c r="I332" s="46"/>
      <c r="J332" s="46"/>
      <c r="K332" s="46"/>
      <c r="L332" s="46"/>
      <c r="M332" s="46"/>
      <c r="N332" s="46"/>
      <c r="O332" s="46"/>
    </row>
    <row r="333" spans="2:15" x14ac:dyDescent="0.2">
      <c r="B333" s="46"/>
      <c r="C333" s="46"/>
      <c r="D333" s="46"/>
      <c r="E333" s="46"/>
      <c r="F333" s="46"/>
      <c r="G333" s="46"/>
      <c r="H333" s="46"/>
      <c r="I333" s="46"/>
      <c r="J333" s="46"/>
      <c r="K333" s="46"/>
      <c r="L333" s="46"/>
      <c r="M333" s="46"/>
      <c r="N333" s="46"/>
      <c r="O333" s="46"/>
    </row>
    <row r="334" spans="2:15" x14ac:dyDescent="0.2">
      <c r="B334" s="46"/>
      <c r="C334" s="46"/>
      <c r="D334" s="46"/>
      <c r="E334" s="46"/>
      <c r="F334" s="46"/>
      <c r="G334" s="46"/>
      <c r="H334" s="46"/>
      <c r="I334" s="46"/>
      <c r="J334" s="46"/>
      <c r="K334" s="46"/>
      <c r="L334" s="46"/>
      <c r="M334" s="46"/>
      <c r="N334" s="46"/>
      <c r="O334" s="46"/>
    </row>
    <row r="335" spans="2:15" x14ac:dyDescent="0.2">
      <c r="B335" s="46"/>
      <c r="C335" s="46"/>
      <c r="D335" s="46"/>
      <c r="E335" s="46"/>
      <c r="F335" s="46"/>
      <c r="G335" s="46"/>
      <c r="H335" s="46"/>
      <c r="I335" s="46"/>
      <c r="J335" s="46"/>
      <c r="K335" s="46"/>
      <c r="L335" s="46"/>
      <c r="M335" s="46"/>
      <c r="N335" s="46"/>
      <c r="O335" s="46"/>
    </row>
    <row r="336" spans="2:15" x14ac:dyDescent="0.2">
      <c r="B336" s="46"/>
      <c r="C336" s="46"/>
      <c r="D336" s="46"/>
      <c r="E336" s="46"/>
      <c r="F336" s="46"/>
      <c r="G336" s="46"/>
      <c r="H336" s="46"/>
      <c r="I336" s="46"/>
      <c r="J336" s="46"/>
      <c r="K336" s="46"/>
      <c r="L336" s="46"/>
      <c r="M336" s="46"/>
      <c r="N336" s="46"/>
      <c r="O336" s="46"/>
    </row>
    <row r="337" spans="2:15" x14ac:dyDescent="0.2">
      <c r="B337" s="46"/>
      <c r="C337" s="46"/>
      <c r="D337" s="46"/>
      <c r="E337" s="46"/>
      <c r="F337" s="46"/>
      <c r="G337" s="46"/>
      <c r="H337" s="46"/>
      <c r="I337" s="46"/>
      <c r="J337" s="46"/>
      <c r="K337" s="46"/>
      <c r="L337" s="46"/>
      <c r="M337" s="46"/>
      <c r="N337" s="46"/>
      <c r="O337" s="46"/>
    </row>
    <row r="338" spans="2:15" x14ac:dyDescent="0.2">
      <c r="B338" s="46"/>
      <c r="C338" s="46"/>
      <c r="D338" s="46"/>
      <c r="E338" s="46"/>
      <c r="F338" s="46"/>
      <c r="G338" s="46"/>
      <c r="H338" s="46"/>
      <c r="I338" s="46"/>
      <c r="J338" s="46"/>
      <c r="K338" s="46"/>
      <c r="L338" s="46"/>
      <c r="M338" s="46"/>
      <c r="N338" s="46"/>
      <c r="O338" s="46"/>
    </row>
    <row r="339" spans="2:15" x14ac:dyDescent="0.2">
      <c r="B339" s="46"/>
      <c r="C339" s="46"/>
      <c r="D339" s="46"/>
      <c r="E339" s="46"/>
      <c r="F339" s="46"/>
      <c r="G339" s="46"/>
      <c r="H339" s="46"/>
      <c r="I339" s="46"/>
      <c r="J339" s="46"/>
      <c r="K339" s="46"/>
      <c r="L339" s="46"/>
      <c r="M339" s="46"/>
      <c r="N339" s="46"/>
      <c r="O339" s="46"/>
    </row>
    <row r="340" spans="2:15" x14ac:dyDescent="0.2">
      <c r="B340" s="46"/>
      <c r="C340" s="46"/>
      <c r="D340" s="46"/>
      <c r="E340" s="46"/>
      <c r="F340" s="46"/>
      <c r="G340" s="46"/>
      <c r="H340" s="46"/>
      <c r="I340" s="46"/>
      <c r="J340" s="46"/>
      <c r="K340" s="46"/>
      <c r="L340" s="46"/>
      <c r="M340" s="46"/>
      <c r="N340" s="46"/>
      <c r="O340" s="46"/>
    </row>
    <row r="341" spans="2:15" x14ac:dyDescent="0.2">
      <c r="B341" s="46"/>
      <c r="C341" s="46"/>
      <c r="D341" s="46"/>
      <c r="E341" s="46"/>
      <c r="F341" s="46"/>
      <c r="G341" s="46"/>
      <c r="H341" s="46"/>
      <c r="I341" s="46"/>
      <c r="J341" s="46"/>
      <c r="K341" s="46"/>
      <c r="L341" s="46"/>
      <c r="M341" s="46"/>
      <c r="N341" s="46"/>
      <c r="O341" s="46"/>
    </row>
    <row r="342" spans="2:15" x14ac:dyDescent="0.2">
      <c r="B342" s="46"/>
      <c r="C342" s="46"/>
      <c r="D342" s="46"/>
      <c r="E342" s="46"/>
      <c r="F342" s="46"/>
      <c r="G342" s="46"/>
      <c r="H342" s="46"/>
      <c r="I342" s="46"/>
      <c r="J342" s="46"/>
      <c r="K342" s="46"/>
      <c r="L342" s="46"/>
      <c r="M342" s="46"/>
      <c r="N342" s="46"/>
      <c r="O342" s="46"/>
    </row>
    <row r="343" spans="2:15" x14ac:dyDescent="0.2">
      <c r="B343" s="46"/>
      <c r="C343" s="46"/>
      <c r="D343" s="46"/>
      <c r="E343" s="46"/>
      <c r="F343" s="46"/>
      <c r="G343" s="46"/>
      <c r="H343" s="46"/>
      <c r="I343" s="46"/>
      <c r="J343" s="46"/>
      <c r="K343" s="46"/>
      <c r="L343" s="46"/>
      <c r="M343" s="46"/>
      <c r="N343" s="46"/>
      <c r="O343" s="46"/>
    </row>
    <row r="344" spans="2:15" x14ac:dyDescent="0.2">
      <c r="B344" s="46"/>
      <c r="C344" s="46"/>
      <c r="D344" s="46"/>
      <c r="E344" s="46"/>
      <c r="F344" s="46"/>
      <c r="G344" s="46"/>
      <c r="H344" s="46"/>
      <c r="I344" s="46"/>
      <c r="J344" s="46"/>
      <c r="K344" s="46"/>
      <c r="L344" s="46"/>
      <c r="M344" s="46"/>
      <c r="N344" s="46"/>
      <c r="O344" s="46"/>
    </row>
    <row r="345" spans="2:15" x14ac:dyDescent="0.2">
      <c r="B345" s="46"/>
      <c r="C345" s="46"/>
      <c r="D345" s="46"/>
      <c r="E345" s="46"/>
      <c r="F345" s="46"/>
      <c r="G345" s="46"/>
      <c r="H345" s="46"/>
      <c r="I345" s="46"/>
      <c r="J345" s="46"/>
      <c r="K345" s="46"/>
      <c r="L345" s="46"/>
      <c r="M345" s="46"/>
      <c r="N345" s="46"/>
      <c r="O345" s="46"/>
    </row>
    <row r="346" spans="2:15" x14ac:dyDescent="0.2">
      <c r="B346" s="46"/>
      <c r="C346" s="46"/>
      <c r="D346" s="46"/>
      <c r="E346" s="46"/>
      <c r="F346" s="46"/>
      <c r="G346" s="46"/>
      <c r="H346" s="46"/>
      <c r="I346" s="46"/>
      <c r="J346" s="46"/>
      <c r="K346" s="46"/>
      <c r="L346" s="46"/>
      <c r="M346" s="46"/>
      <c r="N346" s="46"/>
      <c r="O346" s="46"/>
    </row>
    <row r="347" spans="2:15" x14ac:dyDescent="0.2">
      <c r="B347" s="46"/>
      <c r="C347" s="46"/>
      <c r="D347" s="46"/>
      <c r="E347" s="46"/>
      <c r="F347" s="46"/>
      <c r="G347" s="46"/>
      <c r="H347" s="46"/>
      <c r="I347" s="46"/>
      <c r="J347" s="46"/>
      <c r="K347" s="46"/>
      <c r="L347" s="46"/>
      <c r="M347" s="46"/>
      <c r="N347" s="46"/>
      <c r="O347" s="46"/>
    </row>
    <row r="348" spans="2:15" x14ac:dyDescent="0.2">
      <c r="B348" s="46"/>
      <c r="C348" s="46"/>
      <c r="D348" s="46"/>
      <c r="E348" s="46"/>
      <c r="F348" s="46"/>
      <c r="G348" s="46"/>
      <c r="H348" s="46"/>
      <c r="I348" s="46"/>
      <c r="J348" s="46"/>
      <c r="K348" s="46"/>
      <c r="L348" s="46"/>
      <c r="M348" s="46"/>
      <c r="N348" s="46"/>
      <c r="O348" s="46"/>
    </row>
    <row r="349" spans="2:15" x14ac:dyDescent="0.2">
      <c r="B349" s="46"/>
      <c r="C349" s="46"/>
      <c r="D349" s="46"/>
      <c r="E349" s="46"/>
      <c r="F349" s="46"/>
      <c r="G349" s="46"/>
      <c r="H349" s="46"/>
      <c r="I349" s="46"/>
      <c r="J349" s="46"/>
      <c r="K349" s="46"/>
      <c r="L349" s="46"/>
      <c r="M349" s="46"/>
      <c r="N349" s="46"/>
      <c r="O349" s="46"/>
    </row>
    <row r="350" spans="2:15" x14ac:dyDescent="0.2">
      <c r="B350" s="46"/>
      <c r="C350" s="46"/>
      <c r="D350" s="46"/>
      <c r="E350" s="46"/>
      <c r="F350" s="46"/>
      <c r="G350" s="46"/>
      <c r="H350" s="46"/>
      <c r="I350" s="46"/>
      <c r="J350" s="46"/>
      <c r="K350" s="46"/>
      <c r="L350" s="46"/>
      <c r="M350" s="46"/>
      <c r="N350" s="46"/>
      <c r="O350" s="46"/>
    </row>
    <row r="351" spans="2:15" x14ac:dyDescent="0.2">
      <c r="B351" s="46"/>
      <c r="C351" s="46"/>
      <c r="D351" s="46"/>
      <c r="E351" s="46"/>
      <c r="F351" s="46"/>
      <c r="G351" s="46"/>
      <c r="H351" s="46"/>
      <c r="I351" s="46"/>
      <c r="J351" s="46"/>
      <c r="K351" s="46"/>
      <c r="L351" s="46"/>
      <c r="M351" s="46"/>
      <c r="N351" s="46"/>
      <c r="O351" s="46"/>
    </row>
    <row r="352" spans="2:15" x14ac:dyDescent="0.2">
      <c r="B352" s="46"/>
      <c r="C352" s="46"/>
      <c r="D352" s="46"/>
      <c r="E352" s="46"/>
      <c r="F352" s="46"/>
      <c r="G352" s="46"/>
      <c r="H352" s="46"/>
      <c r="I352" s="46"/>
      <c r="J352" s="46"/>
      <c r="K352" s="46"/>
      <c r="L352" s="46"/>
      <c r="M352" s="46"/>
      <c r="N352" s="46"/>
      <c r="O352" s="46"/>
    </row>
    <row r="353" spans="2:15" x14ac:dyDescent="0.2">
      <c r="B353" s="46"/>
      <c r="C353" s="46"/>
      <c r="D353" s="46"/>
      <c r="E353" s="46"/>
      <c r="F353" s="46"/>
      <c r="G353" s="46"/>
      <c r="H353" s="46"/>
      <c r="I353" s="46"/>
      <c r="J353" s="46"/>
      <c r="K353" s="46"/>
      <c r="L353" s="46"/>
      <c r="M353" s="46"/>
      <c r="N353" s="46"/>
      <c r="O353" s="46"/>
    </row>
    <row r="354" spans="2:15" x14ac:dyDescent="0.2">
      <c r="B354" s="46"/>
      <c r="C354" s="46"/>
      <c r="D354" s="46"/>
      <c r="E354" s="46"/>
      <c r="F354" s="46"/>
      <c r="G354" s="46"/>
      <c r="H354" s="46"/>
      <c r="I354" s="46"/>
      <c r="J354" s="46"/>
      <c r="K354" s="46"/>
      <c r="L354" s="46"/>
      <c r="M354" s="46"/>
      <c r="N354" s="46"/>
      <c r="O354" s="46"/>
    </row>
    <row r="355" spans="2:15" x14ac:dyDescent="0.2">
      <c r="B355" s="46"/>
      <c r="C355" s="46"/>
      <c r="D355" s="46"/>
      <c r="E355" s="46"/>
      <c r="F355" s="46"/>
      <c r="G355" s="46"/>
      <c r="H355" s="46"/>
      <c r="I355" s="46"/>
      <c r="J355" s="46"/>
      <c r="K355" s="46"/>
      <c r="L355" s="46"/>
      <c r="M355" s="46"/>
      <c r="N355" s="46"/>
      <c r="O355" s="46"/>
    </row>
    <row r="356" spans="2:15" x14ac:dyDescent="0.2">
      <c r="B356" s="46"/>
      <c r="C356" s="46"/>
      <c r="D356" s="46"/>
      <c r="E356" s="46"/>
      <c r="F356" s="46"/>
      <c r="G356" s="46"/>
      <c r="H356" s="46"/>
      <c r="I356" s="46"/>
      <c r="J356" s="46"/>
      <c r="K356" s="46"/>
      <c r="L356" s="46"/>
      <c r="M356" s="46"/>
      <c r="N356" s="46"/>
      <c r="O356" s="46"/>
    </row>
    <row r="357" spans="2:15" x14ac:dyDescent="0.2">
      <c r="B357" s="46"/>
      <c r="C357" s="46"/>
      <c r="D357" s="46"/>
      <c r="E357" s="46"/>
      <c r="F357" s="46"/>
      <c r="G357" s="46"/>
      <c r="H357" s="46"/>
      <c r="I357" s="46"/>
      <c r="J357" s="46"/>
      <c r="K357" s="46"/>
      <c r="L357" s="46"/>
      <c r="M357" s="46"/>
      <c r="N357" s="46"/>
      <c r="O357" s="46"/>
    </row>
    <row r="358" spans="2:15" x14ac:dyDescent="0.2">
      <c r="B358" s="46"/>
      <c r="C358" s="46"/>
      <c r="D358" s="46"/>
      <c r="E358" s="46"/>
      <c r="F358" s="46"/>
      <c r="G358" s="46"/>
      <c r="H358" s="46"/>
      <c r="I358" s="46"/>
      <c r="J358" s="46"/>
      <c r="K358" s="46"/>
      <c r="L358" s="46"/>
      <c r="M358" s="46"/>
      <c r="N358" s="46"/>
      <c r="O358" s="46"/>
    </row>
    <row r="359" spans="2:15" x14ac:dyDescent="0.2">
      <c r="B359" s="46"/>
      <c r="C359" s="46"/>
      <c r="D359" s="46"/>
      <c r="E359" s="46"/>
      <c r="F359" s="46"/>
      <c r="G359" s="46"/>
      <c r="H359" s="46"/>
      <c r="I359" s="46"/>
      <c r="J359" s="46"/>
      <c r="K359" s="46"/>
      <c r="L359" s="46"/>
      <c r="M359" s="46"/>
      <c r="N359" s="46"/>
      <c r="O359" s="46"/>
    </row>
    <row r="360" spans="2:15" x14ac:dyDescent="0.2">
      <c r="B360" s="46"/>
      <c r="C360" s="46"/>
      <c r="D360" s="46"/>
      <c r="E360" s="46"/>
      <c r="F360" s="46"/>
      <c r="G360" s="46"/>
      <c r="H360" s="46"/>
      <c r="I360" s="46"/>
      <c r="J360" s="46"/>
      <c r="K360" s="46"/>
      <c r="L360" s="46"/>
      <c r="M360" s="46"/>
      <c r="N360" s="46"/>
      <c r="O360" s="46"/>
    </row>
    <row r="361" spans="2:15" x14ac:dyDescent="0.2">
      <c r="B361" s="46"/>
      <c r="C361" s="46"/>
      <c r="D361" s="46"/>
      <c r="E361" s="46"/>
      <c r="F361" s="46"/>
      <c r="G361" s="46"/>
      <c r="H361" s="46"/>
      <c r="I361" s="46"/>
      <c r="J361" s="46"/>
      <c r="K361" s="46"/>
      <c r="L361" s="46"/>
      <c r="M361" s="46"/>
      <c r="N361" s="46"/>
      <c r="O361" s="46"/>
    </row>
    <row r="362" spans="2:15" x14ac:dyDescent="0.2">
      <c r="B362" s="46"/>
      <c r="C362" s="46"/>
      <c r="D362" s="46"/>
      <c r="E362" s="46"/>
      <c r="F362" s="46"/>
      <c r="G362" s="46"/>
      <c r="H362" s="46"/>
      <c r="I362" s="46"/>
      <c r="J362" s="46"/>
      <c r="K362" s="46"/>
      <c r="L362" s="46"/>
      <c r="M362" s="46"/>
      <c r="N362" s="46"/>
      <c r="O362" s="46"/>
    </row>
    <row r="363" spans="2:15" x14ac:dyDescent="0.2">
      <c r="B363" s="46"/>
      <c r="C363" s="46"/>
      <c r="D363" s="46"/>
      <c r="E363" s="46"/>
      <c r="F363" s="46"/>
      <c r="G363" s="46"/>
      <c r="H363" s="46"/>
      <c r="I363" s="46"/>
      <c r="J363" s="46"/>
      <c r="K363" s="46"/>
      <c r="L363" s="46"/>
      <c r="M363" s="46"/>
      <c r="N363" s="46"/>
      <c r="O363" s="46"/>
    </row>
    <row r="364" spans="2:15" x14ac:dyDescent="0.2">
      <c r="B364" s="46"/>
      <c r="C364" s="46"/>
      <c r="D364" s="46"/>
      <c r="E364" s="46"/>
      <c r="F364" s="46"/>
      <c r="G364" s="46"/>
      <c r="H364" s="46"/>
      <c r="I364" s="46"/>
      <c r="J364" s="46"/>
      <c r="K364" s="46"/>
      <c r="L364" s="46"/>
      <c r="M364" s="46"/>
      <c r="N364" s="46"/>
      <c r="O364" s="46"/>
    </row>
    <row r="365" spans="2:15" x14ac:dyDescent="0.2">
      <c r="B365" s="46"/>
      <c r="C365" s="46"/>
      <c r="D365" s="46"/>
      <c r="E365" s="46"/>
      <c r="F365" s="46"/>
      <c r="G365" s="46"/>
      <c r="H365" s="46"/>
      <c r="I365" s="46"/>
      <c r="J365" s="46"/>
      <c r="K365" s="46"/>
      <c r="L365" s="46"/>
      <c r="M365" s="46"/>
      <c r="N365" s="46"/>
      <c r="O365" s="46"/>
    </row>
    <row r="366" spans="2:15" x14ac:dyDescent="0.2">
      <c r="B366" s="46"/>
      <c r="C366" s="46"/>
      <c r="D366" s="46"/>
      <c r="E366" s="46"/>
      <c r="F366" s="46"/>
      <c r="G366" s="46"/>
      <c r="H366" s="46"/>
      <c r="I366" s="46"/>
      <c r="J366" s="46"/>
      <c r="K366" s="46"/>
      <c r="L366" s="46"/>
      <c r="M366" s="46"/>
      <c r="N366" s="46"/>
      <c r="O366" s="46"/>
    </row>
    <row r="367" spans="2:15" x14ac:dyDescent="0.2">
      <c r="B367" s="46"/>
      <c r="C367" s="46"/>
      <c r="D367" s="46"/>
      <c r="E367" s="46"/>
      <c r="F367" s="46"/>
      <c r="G367" s="46"/>
      <c r="H367" s="46"/>
      <c r="I367" s="46"/>
      <c r="J367" s="46"/>
      <c r="K367" s="46"/>
      <c r="L367" s="46"/>
      <c r="M367" s="46"/>
      <c r="N367" s="46"/>
      <c r="O367" s="46"/>
    </row>
    <row r="368" spans="2:15" x14ac:dyDescent="0.2">
      <c r="B368" s="46"/>
      <c r="C368" s="46"/>
      <c r="D368" s="46"/>
      <c r="E368" s="46"/>
      <c r="F368" s="46"/>
      <c r="G368" s="46"/>
      <c r="H368" s="46"/>
      <c r="I368" s="46"/>
      <c r="J368" s="46"/>
      <c r="K368" s="46"/>
      <c r="L368" s="46"/>
      <c r="M368" s="46"/>
      <c r="N368" s="46"/>
      <c r="O368" s="46"/>
    </row>
    <row r="369" spans="2:15" x14ac:dyDescent="0.2">
      <c r="B369" s="46"/>
      <c r="C369" s="46"/>
      <c r="D369" s="46"/>
      <c r="E369" s="46"/>
      <c r="F369" s="46"/>
      <c r="G369" s="46"/>
      <c r="H369" s="46"/>
      <c r="I369" s="46"/>
      <c r="J369" s="46"/>
      <c r="K369" s="46"/>
      <c r="L369" s="46"/>
      <c r="M369" s="46"/>
      <c r="N369" s="46"/>
      <c r="O369" s="46"/>
    </row>
    <row r="370" spans="2:15" x14ac:dyDescent="0.2">
      <c r="B370" s="46"/>
      <c r="C370" s="46"/>
      <c r="D370" s="46"/>
      <c r="E370" s="46"/>
      <c r="F370" s="46"/>
      <c r="G370" s="46"/>
      <c r="H370" s="46"/>
      <c r="I370" s="46"/>
      <c r="J370" s="46"/>
      <c r="K370" s="46"/>
      <c r="L370" s="46"/>
      <c r="M370" s="46"/>
      <c r="N370" s="46"/>
      <c r="O370" s="46"/>
    </row>
    <row r="371" spans="2:15" x14ac:dyDescent="0.2">
      <c r="B371" s="46"/>
      <c r="C371" s="46"/>
      <c r="D371" s="46"/>
      <c r="E371" s="46"/>
      <c r="F371" s="46"/>
      <c r="G371" s="46"/>
      <c r="H371" s="46"/>
      <c r="I371" s="46"/>
      <c r="J371" s="46"/>
      <c r="K371" s="46"/>
      <c r="L371" s="46"/>
      <c r="M371" s="46"/>
      <c r="N371" s="46"/>
      <c r="O371" s="46"/>
    </row>
    <row r="372" spans="2:15" x14ac:dyDescent="0.2">
      <c r="B372" s="46"/>
      <c r="C372" s="46"/>
      <c r="D372" s="46"/>
      <c r="E372" s="46"/>
      <c r="F372" s="46"/>
      <c r="G372" s="46"/>
      <c r="H372" s="46"/>
      <c r="I372" s="46"/>
      <c r="J372" s="46"/>
      <c r="K372" s="46"/>
      <c r="L372" s="46"/>
      <c r="M372" s="46"/>
      <c r="N372" s="46"/>
      <c r="O372" s="46"/>
    </row>
    <row r="373" spans="2:15" x14ac:dyDescent="0.2">
      <c r="B373" s="46"/>
      <c r="C373" s="46"/>
      <c r="D373" s="46"/>
      <c r="E373" s="46"/>
      <c r="F373" s="46"/>
      <c r="G373" s="46"/>
      <c r="H373" s="46"/>
      <c r="I373" s="46"/>
      <c r="J373" s="46"/>
      <c r="K373" s="46"/>
      <c r="L373" s="46"/>
      <c r="M373" s="46"/>
      <c r="N373" s="46"/>
      <c r="O373" s="46"/>
    </row>
    <row r="374" spans="2:15" x14ac:dyDescent="0.2">
      <c r="B374" s="46"/>
      <c r="C374" s="46"/>
      <c r="D374" s="46"/>
      <c r="E374" s="46"/>
      <c r="F374" s="46"/>
      <c r="G374" s="46"/>
      <c r="H374" s="46"/>
      <c r="I374" s="46"/>
      <c r="J374" s="46"/>
      <c r="K374" s="46"/>
      <c r="L374" s="46"/>
      <c r="M374" s="46"/>
      <c r="N374" s="46"/>
      <c r="O374" s="46"/>
    </row>
    <row r="375" spans="2:15" x14ac:dyDescent="0.2">
      <c r="B375" s="46"/>
      <c r="C375" s="46"/>
      <c r="D375" s="46"/>
      <c r="E375" s="46"/>
      <c r="F375" s="46"/>
      <c r="G375" s="46"/>
      <c r="H375" s="46"/>
      <c r="I375" s="46"/>
      <c r="J375" s="46"/>
      <c r="K375" s="46"/>
      <c r="L375" s="46"/>
      <c r="M375" s="46"/>
      <c r="N375" s="46"/>
      <c r="O375" s="46"/>
    </row>
    <row r="376" spans="2:15" x14ac:dyDescent="0.2">
      <c r="B376" s="46"/>
      <c r="C376" s="46"/>
      <c r="D376" s="46"/>
      <c r="E376" s="46"/>
      <c r="F376" s="46"/>
      <c r="G376" s="46"/>
      <c r="H376" s="46"/>
      <c r="I376" s="46"/>
      <c r="J376" s="46"/>
      <c r="K376" s="46"/>
      <c r="L376" s="46"/>
      <c r="M376" s="46"/>
      <c r="N376" s="46"/>
      <c r="O376" s="46"/>
    </row>
    <row r="377" spans="2:15" x14ac:dyDescent="0.2">
      <c r="B377" s="46"/>
      <c r="C377" s="46"/>
      <c r="D377" s="46"/>
      <c r="E377" s="46"/>
      <c r="F377" s="46"/>
      <c r="G377" s="46"/>
      <c r="H377" s="46"/>
      <c r="I377" s="46"/>
      <c r="J377" s="46"/>
      <c r="K377" s="46"/>
      <c r="L377" s="46"/>
      <c r="M377" s="46"/>
      <c r="N377" s="46"/>
      <c r="O377" s="46"/>
    </row>
    <row r="378" spans="2:15" x14ac:dyDescent="0.2">
      <c r="B378" s="46"/>
      <c r="C378" s="46"/>
      <c r="D378" s="46"/>
      <c r="E378" s="46"/>
      <c r="F378" s="46"/>
      <c r="G378" s="46"/>
      <c r="H378" s="46"/>
      <c r="I378" s="46"/>
      <c r="J378" s="46"/>
      <c r="K378" s="46"/>
      <c r="L378" s="46"/>
      <c r="M378" s="46"/>
      <c r="N378" s="46"/>
      <c r="O378" s="46"/>
    </row>
    <row r="379" spans="2:15" x14ac:dyDescent="0.2">
      <c r="B379" s="46"/>
      <c r="C379" s="46"/>
      <c r="D379" s="46"/>
      <c r="E379" s="46"/>
      <c r="F379" s="46"/>
      <c r="G379" s="46"/>
      <c r="H379" s="46"/>
      <c r="I379" s="46"/>
      <c r="J379" s="46"/>
      <c r="K379" s="46"/>
      <c r="L379" s="46"/>
      <c r="M379" s="46"/>
      <c r="N379" s="46"/>
      <c r="O379" s="46"/>
    </row>
    <row r="380" spans="2:15" x14ac:dyDescent="0.2">
      <c r="B380" s="46"/>
      <c r="C380" s="46"/>
      <c r="D380" s="46"/>
      <c r="E380" s="46"/>
      <c r="F380" s="46"/>
      <c r="G380" s="46"/>
      <c r="H380" s="46"/>
      <c r="I380" s="46"/>
      <c r="J380" s="46"/>
      <c r="K380" s="46"/>
      <c r="L380" s="46"/>
      <c r="M380" s="46"/>
      <c r="N380" s="46"/>
      <c r="O380" s="46"/>
    </row>
    <row r="381" spans="2:15" x14ac:dyDescent="0.2">
      <c r="B381" s="46"/>
      <c r="C381" s="46"/>
      <c r="D381" s="46"/>
      <c r="E381" s="46"/>
      <c r="F381" s="46"/>
      <c r="G381" s="46"/>
      <c r="H381" s="46"/>
      <c r="I381" s="46"/>
      <c r="J381" s="46"/>
      <c r="K381" s="46"/>
      <c r="L381" s="46"/>
      <c r="M381" s="46"/>
      <c r="N381" s="46"/>
      <c r="O381" s="46"/>
    </row>
    <row r="382" spans="2:15" x14ac:dyDescent="0.2">
      <c r="B382" s="46"/>
      <c r="C382" s="46"/>
      <c r="D382" s="46"/>
      <c r="E382" s="46"/>
      <c r="F382" s="46"/>
      <c r="G382" s="46"/>
      <c r="H382" s="46"/>
      <c r="I382" s="46"/>
      <c r="J382" s="46"/>
      <c r="K382" s="46"/>
      <c r="L382" s="46"/>
      <c r="M382" s="46"/>
      <c r="N382" s="46"/>
      <c r="O382" s="46"/>
    </row>
    <row r="383" spans="2:15" x14ac:dyDescent="0.2">
      <c r="B383" s="46"/>
      <c r="C383" s="46"/>
      <c r="D383" s="46"/>
      <c r="E383" s="46"/>
      <c r="F383" s="46"/>
      <c r="G383" s="46"/>
      <c r="H383" s="46"/>
      <c r="I383" s="46"/>
      <c r="J383" s="46"/>
      <c r="K383" s="46"/>
      <c r="L383" s="46"/>
      <c r="M383" s="46"/>
      <c r="N383" s="46"/>
      <c r="O383" s="46"/>
    </row>
    <row r="384" spans="2:15" x14ac:dyDescent="0.2">
      <c r="B384" s="46"/>
      <c r="C384" s="46"/>
      <c r="D384" s="46"/>
      <c r="E384" s="46"/>
      <c r="F384" s="46"/>
      <c r="G384" s="46"/>
      <c r="H384" s="46"/>
      <c r="I384" s="46"/>
      <c r="J384" s="46"/>
      <c r="K384" s="46"/>
      <c r="L384" s="46"/>
      <c r="M384" s="46"/>
      <c r="N384" s="46"/>
      <c r="O384" s="46"/>
    </row>
    <row r="385" spans="2:15" x14ac:dyDescent="0.2">
      <c r="B385" s="46"/>
      <c r="C385" s="46"/>
      <c r="D385" s="46"/>
      <c r="E385" s="46"/>
      <c r="F385" s="46"/>
      <c r="G385" s="46"/>
      <c r="H385" s="46"/>
      <c r="I385" s="46"/>
      <c r="J385" s="46"/>
      <c r="K385" s="46"/>
      <c r="L385" s="46"/>
      <c r="M385" s="46"/>
      <c r="N385" s="46"/>
      <c r="O385" s="46"/>
    </row>
    <row r="386" spans="2:15" x14ac:dyDescent="0.2">
      <c r="B386" s="46"/>
      <c r="C386" s="46"/>
      <c r="D386" s="46"/>
      <c r="E386" s="46"/>
      <c r="F386" s="46"/>
      <c r="G386" s="46"/>
      <c r="H386" s="46"/>
      <c r="I386" s="46"/>
      <c r="J386" s="46"/>
      <c r="K386" s="46"/>
      <c r="L386" s="46"/>
      <c r="M386" s="46"/>
      <c r="N386" s="46"/>
      <c r="O386" s="46"/>
    </row>
    <row r="387" spans="2:15" x14ac:dyDescent="0.2">
      <c r="B387" s="46"/>
      <c r="C387" s="46"/>
      <c r="D387" s="46"/>
      <c r="E387" s="46"/>
      <c r="F387" s="46"/>
      <c r="G387" s="46"/>
      <c r="H387" s="46"/>
      <c r="I387" s="46"/>
      <c r="J387" s="46"/>
      <c r="K387" s="46"/>
      <c r="L387" s="46"/>
      <c r="M387" s="46"/>
      <c r="N387" s="46"/>
      <c r="O387" s="46"/>
    </row>
    <row r="388" spans="2:15" x14ac:dyDescent="0.2">
      <c r="B388" s="46"/>
      <c r="C388" s="46"/>
      <c r="D388" s="46"/>
      <c r="E388" s="46"/>
      <c r="F388" s="46"/>
      <c r="G388" s="46"/>
      <c r="H388" s="46"/>
      <c r="I388" s="46"/>
      <c r="J388" s="46"/>
      <c r="K388" s="46"/>
      <c r="L388" s="46"/>
      <c r="M388" s="46"/>
      <c r="N388" s="46"/>
      <c r="O388" s="46"/>
    </row>
    <row r="389" spans="2:15" x14ac:dyDescent="0.2">
      <c r="B389" s="46"/>
      <c r="C389" s="46"/>
      <c r="D389" s="46"/>
      <c r="E389" s="46"/>
      <c r="F389" s="46"/>
      <c r="G389" s="46"/>
      <c r="H389" s="46"/>
      <c r="I389" s="46"/>
      <c r="J389" s="46"/>
      <c r="K389" s="46"/>
      <c r="L389" s="46"/>
      <c r="M389" s="46"/>
      <c r="N389" s="46"/>
      <c r="O389" s="46"/>
    </row>
    <row r="390" spans="2:15" x14ac:dyDescent="0.2">
      <c r="B390" s="46"/>
      <c r="C390" s="46"/>
      <c r="D390" s="46"/>
      <c r="E390" s="46"/>
      <c r="F390" s="46"/>
      <c r="G390" s="46"/>
      <c r="H390" s="46"/>
      <c r="I390" s="46"/>
      <c r="J390" s="46"/>
      <c r="K390" s="46"/>
      <c r="L390" s="46"/>
      <c r="M390" s="46"/>
      <c r="N390" s="46"/>
      <c r="O390" s="46"/>
    </row>
    <row r="391" spans="2:15" x14ac:dyDescent="0.2">
      <c r="B391" s="46"/>
      <c r="C391" s="46"/>
      <c r="D391" s="46"/>
      <c r="E391" s="46"/>
      <c r="F391" s="46"/>
      <c r="G391" s="46"/>
      <c r="H391" s="46"/>
      <c r="I391" s="46"/>
      <c r="J391" s="46"/>
      <c r="K391" s="46"/>
      <c r="L391" s="46"/>
      <c r="M391" s="46"/>
      <c r="N391" s="46"/>
      <c r="O391" s="46"/>
    </row>
    <row r="392" spans="2:15" x14ac:dyDescent="0.2">
      <c r="B392" s="46"/>
      <c r="C392" s="46"/>
      <c r="D392" s="46"/>
      <c r="E392" s="46"/>
      <c r="F392" s="46"/>
      <c r="G392" s="46"/>
      <c r="H392" s="46"/>
      <c r="I392" s="46"/>
      <c r="J392" s="46"/>
      <c r="K392" s="46"/>
      <c r="L392" s="46"/>
      <c r="M392" s="46"/>
      <c r="N392" s="46"/>
      <c r="O392" s="46"/>
    </row>
    <row r="393" spans="2:15" x14ac:dyDescent="0.2">
      <c r="B393" s="46"/>
      <c r="C393" s="46"/>
      <c r="D393" s="46"/>
      <c r="E393" s="46"/>
      <c r="F393" s="46"/>
      <c r="G393" s="46"/>
      <c r="H393" s="46"/>
      <c r="I393" s="46"/>
      <c r="J393" s="46"/>
      <c r="K393" s="46"/>
      <c r="L393" s="46"/>
      <c r="M393" s="46"/>
      <c r="N393" s="46"/>
      <c r="O393" s="46"/>
    </row>
    <row r="394" spans="2:15" x14ac:dyDescent="0.2">
      <c r="B394" s="46"/>
      <c r="C394" s="46"/>
      <c r="D394" s="46"/>
      <c r="E394" s="46"/>
      <c r="F394" s="46"/>
      <c r="G394" s="46"/>
      <c r="H394" s="46"/>
      <c r="I394" s="46"/>
      <c r="J394" s="46"/>
      <c r="K394" s="46"/>
      <c r="L394" s="46"/>
      <c r="M394" s="46"/>
      <c r="N394" s="46"/>
      <c r="O394" s="46"/>
    </row>
    <row r="395" spans="2:15" x14ac:dyDescent="0.2">
      <c r="B395" s="46"/>
      <c r="C395" s="46"/>
      <c r="D395" s="46"/>
      <c r="E395" s="46"/>
      <c r="F395" s="46"/>
      <c r="G395" s="46"/>
      <c r="H395" s="46"/>
      <c r="I395" s="46"/>
      <c r="J395" s="46"/>
      <c r="K395" s="46"/>
      <c r="L395" s="46"/>
      <c r="M395" s="46"/>
      <c r="N395" s="46"/>
      <c r="O395" s="46"/>
    </row>
    <row r="396" spans="2:15" x14ac:dyDescent="0.2">
      <c r="B396" s="46"/>
      <c r="C396" s="46"/>
      <c r="D396" s="46"/>
      <c r="E396" s="46"/>
      <c r="F396" s="46"/>
      <c r="G396" s="46"/>
      <c r="H396" s="46"/>
      <c r="I396" s="46"/>
      <c r="J396" s="46"/>
      <c r="K396" s="46"/>
      <c r="L396" s="46"/>
      <c r="M396" s="46"/>
      <c r="N396" s="46"/>
      <c r="O396" s="46"/>
    </row>
    <row r="397" spans="2:15" x14ac:dyDescent="0.2">
      <c r="B397" s="46"/>
      <c r="C397" s="46"/>
      <c r="D397" s="46"/>
      <c r="E397" s="46"/>
      <c r="F397" s="46"/>
      <c r="G397" s="46"/>
      <c r="H397" s="46"/>
      <c r="I397" s="46"/>
      <c r="J397" s="46"/>
      <c r="K397" s="46"/>
      <c r="L397" s="46"/>
      <c r="M397" s="46"/>
      <c r="N397" s="46"/>
      <c r="O397" s="46"/>
    </row>
    <row r="398" spans="2:15" x14ac:dyDescent="0.2">
      <c r="B398" s="46"/>
      <c r="C398" s="46"/>
      <c r="D398" s="46"/>
      <c r="E398" s="46"/>
      <c r="F398" s="46"/>
      <c r="G398" s="46"/>
      <c r="H398" s="46"/>
      <c r="I398" s="46"/>
      <c r="J398" s="46"/>
      <c r="K398" s="46"/>
      <c r="L398" s="46"/>
      <c r="M398" s="46"/>
      <c r="N398" s="46"/>
      <c r="O398" s="46"/>
    </row>
    <row r="399" spans="2:15" x14ac:dyDescent="0.2">
      <c r="B399" s="46"/>
      <c r="C399" s="46"/>
      <c r="D399" s="46"/>
      <c r="E399" s="46"/>
      <c r="F399" s="46"/>
      <c r="G399" s="46"/>
      <c r="H399" s="46"/>
      <c r="I399" s="46"/>
      <c r="J399" s="46"/>
      <c r="K399" s="46"/>
      <c r="L399" s="46"/>
      <c r="M399" s="46"/>
      <c r="N399" s="46"/>
      <c r="O399" s="46"/>
    </row>
    <row r="400" spans="2:15" x14ac:dyDescent="0.2">
      <c r="B400" s="46"/>
      <c r="C400" s="46"/>
      <c r="D400" s="46"/>
      <c r="E400" s="46"/>
      <c r="F400" s="46"/>
      <c r="G400" s="46"/>
      <c r="H400" s="46"/>
      <c r="I400" s="46"/>
      <c r="J400" s="46"/>
      <c r="K400" s="46"/>
      <c r="L400" s="46"/>
      <c r="M400" s="46"/>
      <c r="N400" s="46"/>
      <c r="O400" s="46"/>
    </row>
    <row r="401" spans="2:15" x14ac:dyDescent="0.2">
      <c r="B401" s="46"/>
      <c r="C401" s="46"/>
      <c r="D401" s="46"/>
      <c r="E401" s="46"/>
      <c r="F401" s="46"/>
      <c r="G401" s="46"/>
      <c r="H401" s="46"/>
      <c r="I401" s="46"/>
      <c r="J401" s="46"/>
      <c r="K401" s="46"/>
      <c r="L401" s="46"/>
      <c r="M401" s="46"/>
      <c r="N401" s="46"/>
      <c r="O401" s="46"/>
    </row>
    <row r="402" spans="2:15" x14ac:dyDescent="0.2">
      <c r="B402" s="46"/>
      <c r="C402" s="46"/>
      <c r="D402" s="46"/>
      <c r="E402" s="46"/>
      <c r="F402" s="46"/>
      <c r="G402" s="46"/>
      <c r="H402" s="46"/>
      <c r="I402" s="46"/>
      <c r="J402" s="46"/>
      <c r="K402" s="46"/>
      <c r="L402" s="46"/>
      <c r="M402" s="46"/>
      <c r="N402" s="46"/>
      <c r="O402" s="46"/>
    </row>
    <row r="403" spans="2:15" x14ac:dyDescent="0.2">
      <c r="B403" s="46"/>
      <c r="C403" s="46"/>
      <c r="D403" s="46"/>
      <c r="E403" s="46"/>
      <c r="F403" s="46"/>
      <c r="G403" s="46"/>
      <c r="H403" s="46"/>
      <c r="I403" s="46"/>
      <c r="J403" s="46"/>
      <c r="K403" s="46"/>
      <c r="L403" s="46"/>
      <c r="M403" s="46"/>
      <c r="N403" s="46"/>
      <c r="O403" s="46"/>
    </row>
    <row r="404" spans="2:15" x14ac:dyDescent="0.2">
      <c r="B404" s="46"/>
      <c r="C404" s="46"/>
      <c r="D404" s="46"/>
      <c r="E404" s="46"/>
      <c r="F404" s="46"/>
      <c r="G404" s="46"/>
      <c r="H404" s="46"/>
      <c r="I404" s="46"/>
      <c r="J404" s="46"/>
      <c r="K404" s="46"/>
      <c r="L404" s="46"/>
      <c r="M404" s="46"/>
      <c r="N404" s="46"/>
      <c r="O404" s="46"/>
    </row>
    <row r="405" spans="2:15" x14ac:dyDescent="0.2">
      <c r="B405" s="46"/>
      <c r="C405" s="46"/>
      <c r="D405" s="46"/>
      <c r="E405" s="46"/>
      <c r="F405" s="46"/>
      <c r="G405" s="46"/>
      <c r="H405" s="46"/>
      <c r="I405" s="46"/>
      <c r="J405" s="46"/>
      <c r="K405" s="46"/>
      <c r="L405" s="46"/>
      <c r="M405" s="46"/>
      <c r="N405" s="46"/>
      <c r="O405" s="46"/>
    </row>
    <row r="406" spans="2:15" x14ac:dyDescent="0.2">
      <c r="B406" s="46"/>
      <c r="C406" s="46"/>
      <c r="D406" s="46"/>
      <c r="E406" s="46"/>
      <c r="F406" s="46"/>
      <c r="G406" s="46"/>
      <c r="H406" s="46"/>
      <c r="I406" s="46"/>
      <c r="J406" s="46"/>
      <c r="K406" s="46"/>
      <c r="L406" s="46"/>
      <c r="M406" s="46"/>
      <c r="N406" s="46"/>
      <c r="O406" s="46"/>
    </row>
    <row r="407" spans="2:15" x14ac:dyDescent="0.2">
      <c r="B407" s="46"/>
      <c r="C407" s="46"/>
      <c r="D407" s="46"/>
      <c r="E407" s="46"/>
      <c r="F407" s="46"/>
      <c r="G407" s="46"/>
      <c r="H407" s="46"/>
      <c r="I407" s="46"/>
      <c r="J407" s="46"/>
      <c r="K407" s="46"/>
      <c r="L407" s="46"/>
      <c r="M407" s="46"/>
      <c r="N407" s="46"/>
      <c r="O407" s="46"/>
    </row>
    <row r="408" spans="2:15" x14ac:dyDescent="0.2">
      <c r="B408" s="46"/>
      <c r="C408" s="46"/>
      <c r="D408" s="46"/>
      <c r="E408" s="46"/>
      <c r="F408" s="46"/>
      <c r="G408" s="46"/>
      <c r="H408" s="46"/>
      <c r="I408" s="46"/>
      <c r="J408" s="46"/>
      <c r="K408" s="46"/>
      <c r="L408" s="46"/>
      <c r="M408" s="46"/>
      <c r="N408" s="46"/>
      <c r="O408" s="46"/>
    </row>
    <row r="409" spans="2:15" x14ac:dyDescent="0.2">
      <c r="B409" s="46"/>
      <c r="C409" s="46"/>
      <c r="D409" s="46"/>
      <c r="E409" s="46"/>
      <c r="F409" s="46"/>
      <c r="G409" s="46"/>
      <c r="H409" s="46"/>
      <c r="I409" s="46"/>
      <c r="J409" s="46"/>
      <c r="K409" s="46"/>
      <c r="L409" s="46"/>
      <c r="M409" s="46"/>
      <c r="N409" s="46"/>
      <c r="O409" s="46"/>
    </row>
    <row r="410" spans="2:15" x14ac:dyDescent="0.2">
      <c r="B410" s="46"/>
      <c r="C410" s="46"/>
      <c r="D410" s="46"/>
      <c r="E410" s="46"/>
      <c r="F410" s="46"/>
      <c r="G410" s="46"/>
      <c r="H410" s="46"/>
      <c r="I410" s="46"/>
      <c r="J410" s="46"/>
      <c r="K410" s="46"/>
      <c r="L410" s="46"/>
      <c r="M410" s="46"/>
      <c r="N410" s="46"/>
      <c r="O410" s="46"/>
    </row>
    <row r="411" spans="2:15" x14ac:dyDescent="0.2">
      <c r="B411" s="46"/>
      <c r="C411" s="46"/>
      <c r="D411" s="46"/>
      <c r="E411" s="46"/>
      <c r="F411" s="46"/>
      <c r="G411" s="46"/>
      <c r="H411" s="46"/>
      <c r="I411" s="46"/>
      <c r="J411" s="46"/>
      <c r="K411" s="46"/>
      <c r="L411" s="46"/>
      <c r="M411" s="46"/>
      <c r="N411" s="46"/>
      <c r="O411" s="46"/>
    </row>
    <row r="412" spans="2:15" x14ac:dyDescent="0.2">
      <c r="B412" s="46"/>
      <c r="C412" s="46"/>
      <c r="D412" s="46"/>
      <c r="E412" s="46"/>
      <c r="F412" s="46"/>
      <c r="G412" s="46"/>
      <c r="H412" s="46"/>
      <c r="I412" s="46"/>
      <c r="J412" s="46"/>
      <c r="K412" s="46"/>
      <c r="L412" s="46"/>
      <c r="M412" s="46"/>
      <c r="N412" s="46"/>
      <c r="O412" s="46"/>
    </row>
    <row r="413" spans="2:15" x14ac:dyDescent="0.2">
      <c r="B413" s="46"/>
      <c r="C413" s="46"/>
      <c r="D413" s="46"/>
      <c r="E413" s="46"/>
      <c r="F413" s="46"/>
      <c r="G413" s="46"/>
      <c r="H413" s="46"/>
      <c r="I413" s="46"/>
      <c r="J413" s="46"/>
      <c r="K413" s="46"/>
      <c r="L413" s="46"/>
      <c r="M413" s="46"/>
      <c r="N413" s="46"/>
      <c r="O413" s="46"/>
    </row>
    <row r="414" spans="2:15" x14ac:dyDescent="0.2">
      <c r="B414" s="46"/>
      <c r="C414" s="46"/>
      <c r="D414" s="46"/>
      <c r="E414" s="46"/>
      <c r="F414" s="46"/>
      <c r="G414" s="46"/>
      <c r="H414" s="46"/>
      <c r="I414" s="46"/>
      <c r="J414" s="46"/>
      <c r="K414" s="46"/>
      <c r="L414" s="46"/>
      <c r="M414" s="46"/>
      <c r="N414" s="46"/>
      <c r="O414" s="46"/>
    </row>
    <row r="415" spans="2:15" x14ac:dyDescent="0.2">
      <c r="B415" s="46"/>
      <c r="C415" s="46"/>
      <c r="D415" s="46"/>
      <c r="E415" s="46"/>
      <c r="F415" s="46"/>
      <c r="G415" s="46"/>
      <c r="H415" s="46"/>
      <c r="I415" s="46"/>
      <c r="J415" s="46"/>
      <c r="K415" s="46"/>
      <c r="L415" s="46"/>
      <c r="M415" s="46"/>
      <c r="N415" s="46"/>
      <c r="O415" s="46"/>
    </row>
    <row r="416" spans="2:15" x14ac:dyDescent="0.2">
      <c r="B416" s="46"/>
      <c r="C416" s="46"/>
      <c r="D416" s="46"/>
      <c r="E416" s="46"/>
      <c r="F416" s="46"/>
      <c r="G416" s="46"/>
      <c r="H416" s="46"/>
      <c r="I416" s="46"/>
      <c r="J416" s="46"/>
      <c r="K416" s="46"/>
      <c r="L416" s="46"/>
      <c r="M416" s="46"/>
      <c r="N416" s="46"/>
      <c r="O416" s="46"/>
    </row>
    <row r="417" spans="2:15" x14ac:dyDescent="0.2">
      <c r="B417" s="46"/>
      <c r="C417" s="46"/>
      <c r="D417" s="46"/>
      <c r="E417" s="46"/>
      <c r="F417" s="46"/>
      <c r="G417" s="46"/>
      <c r="H417" s="46"/>
      <c r="I417" s="46"/>
      <c r="J417" s="46"/>
      <c r="K417" s="46"/>
      <c r="L417" s="46"/>
      <c r="M417" s="46"/>
      <c r="N417" s="46"/>
      <c r="O417" s="46"/>
    </row>
    <row r="418" spans="2:15" x14ac:dyDescent="0.2">
      <c r="B418" s="46"/>
      <c r="C418" s="46"/>
      <c r="D418" s="46"/>
      <c r="E418" s="46"/>
      <c r="F418" s="46"/>
      <c r="G418" s="46"/>
      <c r="H418" s="46"/>
      <c r="I418" s="46"/>
      <c r="J418" s="46"/>
      <c r="K418" s="46"/>
      <c r="L418" s="46"/>
      <c r="M418" s="46"/>
      <c r="N418" s="46"/>
      <c r="O418" s="46"/>
    </row>
    <row r="419" spans="2:15" x14ac:dyDescent="0.2">
      <c r="B419" s="46"/>
      <c r="C419" s="46"/>
      <c r="D419" s="46"/>
      <c r="E419" s="46"/>
      <c r="F419" s="46"/>
      <c r="G419" s="46"/>
      <c r="H419" s="46"/>
      <c r="I419" s="46"/>
      <c r="J419" s="46"/>
      <c r="K419" s="46"/>
      <c r="L419" s="46"/>
      <c r="M419" s="46"/>
      <c r="N419" s="46"/>
      <c r="O419" s="46"/>
    </row>
    <row r="420" spans="2:15" x14ac:dyDescent="0.2">
      <c r="B420" s="46"/>
      <c r="C420" s="46"/>
      <c r="D420" s="46"/>
      <c r="E420" s="46"/>
      <c r="F420" s="46"/>
      <c r="G420" s="46"/>
      <c r="H420" s="46"/>
      <c r="I420" s="46"/>
      <c r="J420" s="46"/>
      <c r="K420" s="46"/>
      <c r="L420" s="46"/>
      <c r="M420" s="46"/>
      <c r="N420" s="46"/>
      <c r="O420" s="46"/>
    </row>
    <row r="421" spans="2:15" x14ac:dyDescent="0.2">
      <c r="B421" s="46"/>
      <c r="C421" s="46"/>
      <c r="D421" s="46"/>
      <c r="E421" s="46"/>
      <c r="F421" s="46"/>
      <c r="G421" s="46"/>
      <c r="H421" s="46"/>
      <c r="I421" s="46"/>
      <c r="J421" s="46"/>
      <c r="K421" s="46"/>
      <c r="L421" s="46"/>
      <c r="M421" s="46"/>
      <c r="N421" s="46"/>
      <c r="O421" s="46"/>
    </row>
    <row r="422" spans="2:15" x14ac:dyDescent="0.2">
      <c r="B422" s="46"/>
      <c r="C422" s="46"/>
      <c r="D422" s="46"/>
      <c r="E422" s="46"/>
      <c r="F422" s="46"/>
      <c r="G422" s="46"/>
      <c r="H422" s="46"/>
      <c r="I422" s="46"/>
      <c r="J422" s="46"/>
      <c r="K422" s="46"/>
      <c r="L422" s="46"/>
      <c r="M422" s="46"/>
      <c r="N422" s="46"/>
      <c r="O422" s="46"/>
    </row>
    <row r="423" spans="2:15" x14ac:dyDescent="0.2">
      <c r="B423" s="46"/>
      <c r="C423" s="46"/>
      <c r="D423" s="46"/>
      <c r="E423" s="46"/>
      <c r="F423" s="46"/>
      <c r="G423" s="46"/>
      <c r="H423" s="46"/>
      <c r="I423" s="46"/>
      <c r="J423" s="46"/>
      <c r="K423" s="46"/>
      <c r="L423" s="46"/>
      <c r="M423" s="46"/>
      <c r="N423" s="46"/>
      <c r="O423" s="46"/>
    </row>
    <row r="424" spans="2:15" x14ac:dyDescent="0.2">
      <c r="B424" s="46"/>
      <c r="C424" s="46"/>
      <c r="D424" s="46"/>
      <c r="E424" s="46"/>
      <c r="F424" s="46"/>
      <c r="G424" s="46"/>
      <c r="H424" s="46"/>
      <c r="I424" s="46"/>
      <c r="J424" s="46"/>
      <c r="K424" s="46"/>
      <c r="L424" s="46"/>
      <c r="M424" s="46"/>
      <c r="N424" s="46"/>
      <c r="O424" s="46"/>
    </row>
    <row r="425" spans="2:15" x14ac:dyDescent="0.2">
      <c r="B425" s="46"/>
      <c r="C425" s="46"/>
      <c r="D425" s="46"/>
      <c r="E425" s="46"/>
      <c r="F425" s="46"/>
      <c r="G425" s="46"/>
      <c r="H425" s="46"/>
      <c r="I425" s="46"/>
      <c r="J425" s="46"/>
      <c r="K425" s="46"/>
      <c r="L425" s="46"/>
      <c r="M425" s="46"/>
      <c r="N425" s="46"/>
      <c r="O425" s="46"/>
    </row>
    <row r="426" spans="2:15" x14ac:dyDescent="0.2">
      <c r="B426" s="46"/>
      <c r="C426" s="46"/>
      <c r="D426" s="46"/>
      <c r="E426" s="46"/>
      <c r="F426" s="46"/>
      <c r="G426" s="46"/>
      <c r="H426" s="46"/>
      <c r="I426" s="46"/>
      <c r="J426" s="46"/>
      <c r="K426" s="46"/>
      <c r="L426" s="46"/>
      <c r="M426" s="46"/>
      <c r="N426" s="46"/>
      <c r="O426" s="46"/>
    </row>
    <row r="427" spans="2:15" x14ac:dyDescent="0.2">
      <c r="B427" s="46"/>
      <c r="C427" s="46"/>
      <c r="D427" s="46"/>
      <c r="E427" s="46"/>
      <c r="F427" s="46"/>
      <c r="G427" s="46"/>
      <c r="H427" s="46"/>
      <c r="I427" s="46"/>
      <c r="J427" s="46"/>
      <c r="K427" s="46"/>
      <c r="L427" s="46"/>
      <c r="M427" s="46"/>
      <c r="N427" s="46"/>
      <c r="O427" s="46"/>
    </row>
    <row r="428" spans="2:15" x14ac:dyDescent="0.2">
      <c r="B428" s="46"/>
      <c r="C428" s="46"/>
      <c r="D428" s="46"/>
      <c r="E428" s="46"/>
      <c r="F428" s="46"/>
      <c r="G428" s="46"/>
      <c r="H428" s="46"/>
      <c r="I428" s="46"/>
      <c r="J428" s="46"/>
      <c r="K428" s="46"/>
      <c r="L428" s="46"/>
      <c r="M428" s="46"/>
      <c r="N428" s="46"/>
      <c r="O428" s="46"/>
    </row>
    <row r="429" spans="2:15" x14ac:dyDescent="0.2">
      <c r="B429" s="46"/>
      <c r="C429" s="46"/>
      <c r="D429" s="46"/>
      <c r="E429" s="46"/>
      <c r="F429" s="46"/>
      <c r="G429" s="46"/>
      <c r="H429" s="46"/>
      <c r="I429" s="46"/>
      <c r="J429" s="46"/>
      <c r="K429" s="46"/>
      <c r="L429" s="46"/>
      <c r="M429" s="46"/>
      <c r="N429" s="46"/>
      <c r="O429" s="46"/>
    </row>
    <row r="430" spans="2:15" x14ac:dyDescent="0.2">
      <c r="B430" s="46"/>
      <c r="C430" s="46"/>
      <c r="D430" s="46"/>
      <c r="E430" s="46"/>
      <c r="F430" s="46"/>
      <c r="G430" s="46"/>
      <c r="H430" s="46"/>
      <c r="I430" s="46"/>
      <c r="J430" s="46"/>
      <c r="K430" s="46"/>
      <c r="L430" s="46"/>
      <c r="M430" s="46"/>
      <c r="N430" s="46"/>
      <c r="O430" s="46"/>
    </row>
    <row r="431" spans="2:15" x14ac:dyDescent="0.2">
      <c r="B431" s="46"/>
      <c r="C431" s="46"/>
      <c r="D431" s="46"/>
      <c r="E431" s="46"/>
      <c r="F431" s="46"/>
      <c r="G431" s="46"/>
      <c r="H431" s="46"/>
      <c r="I431" s="46"/>
      <c r="J431" s="46"/>
      <c r="K431" s="46"/>
      <c r="L431" s="46"/>
      <c r="M431" s="46"/>
      <c r="N431" s="46"/>
      <c r="O431" s="46"/>
    </row>
    <row r="432" spans="2:15" x14ac:dyDescent="0.2">
      <c r="B432" s="46"/>
      <c r="C432" s="46"/>
      <c r="D432" s="46"/>
      <c r="E432" s="46"/>
      <c r="F432" s="46"/>
      <c r="G432" s="46"/>
      <c r="H432" s="46"/>
      <c r="I432" s="46"/>
      <c r="J432" s="46"/>
      <c r="K432" s="46"/>
      <c r="L432" s="46"/>
      <c r="M432" s="46"/>
      <c r="N432" s="46"/>
      <c r="O432" s="46"/>
    </row>
    <row r="433" spans="2:15" x14ac:dyDescent="0.2">
      <c r="B433" s="46"/>
      <c r="C433" s="46"/>
      <c r="D433" s="46"/>
      <c r="E433" s="46"/>
      <c r="F433" s="46"/>
      <c r="G433" s="46"/>
      <c r="H433" s="46"/>
      <c r="I433" s="46"/>
      <c r="J433" s="46"/>
      <c r="K433" s="46"/>
      <c r="L433" s="46"/>
      <c r="M433" s="46"/>
      <c r="N433" s="46"/>
      <c r="O433" s="46"/>
    </row>
    <row r="434" spans="2:15" x14ac:dyDescent="0.2">
      <c r="B434" s="46"/>
      <c r="C434" s="46"/>
      <c r="D434" s="46"/>
      <c r="E434" s="46"/>
      <c r="F434" s="46"/>
      <c r="G434" s="46"/>
      <c r="H434" s="46"/>
      <c r="I434" s="46"/>
      <c r="J434" s="46"/>
      <c r="K434" s="46"/>
      <c r="L434" s="46"/>
      <c r="M434" s="46"/>
      <c r="N434" s="46"/>
      <c r="O434" s="46"/>
    </row>
    <row r="435" spans="2:15" x14ac:dyDescent="0.2">
      <c r="B435" s="46"/>
      <c r="C435" s="46"/>
      <c r="D435" s="46"/>
      <c r="E435" s="46"/>
      <c r="F435" s="46"/>
      <c r="G435" s="46"/>
      <c r="H435" s="46"/>
      <c r="I435" s="46"/>
      <c r="J435" s="46"/>
      <c r="K435" s="46"/>
      <c r="L435" s="46"/>
      <c r="M435" s="46"/>
      <c r="N435" s="46"/>
      <c r="O435" s="46"/>
    </row>
    <row r="436" spans="2:15" x14ac:dyDescent="0.2">
      <c r="B436" s="46"/>
      <c r="C436" s="46"/>
      <c r="D436" s="46"/>
      <c r="E436" s="46"/>
      <c r="F436" s="46"/>
      <c r="G436" s="46"/>
      <c r="H436" s="46"/>
      <c r="I436" s="46"/>
      <c r="J436" s="46"/>
      <c r="K436" s="46"/>
      <c r="L436" s="46"/>
      <c r="M436" s="46"/>
      <c r="N436" s="46"/>
      <c r="O436" s="46"/>
    </row>
    <row r="437" spans="2:15" x14ac:dyDescent="0.2">
      <c r="B437" s="46"/>
      <c r="C437" s="46"/>
      <c r="D437" s="46"/>
      <c r="E437" s="46"/>
      <c r="F437" s="46"/>
      <c r="G437" s="46"/>
      <c r="H437" s="46"/>
      <c r="I437" s="46"/>
      <c r="J437" s="46"/>
      <c r="K437" s="46"/>
      <c r="L437" s="46"/>
      <c r="M437" s="46"/>
      <c r="N437" s="46"/>
      <c r="O437" s="46"/>
    </row>
    <row r="438" spans="2:15" x14ac:dyDescent="0.2">
      <c r="B438" s="46"/>
      <c r="C438" s="46"/>
      <c r="D438" s="46"/>
      <c r="E438" s="46"/>
      <c r="F438" s="46"/>
      <c r="G438" s="46"/>
      <c r="H438" s="46"/>
      <c r="I438" s="46"/>
      <c r="J438" s="46"/>
      <c r="K438" s="46"/>
      <c r="L438" s="46"/>
      <c r="M438" s="46"/>
      <c r="N438" s="46"/>
      <c r="O438" s="46"/>
    </row>
    <row r="439" spans="2:15" x14ac:dyDescent="0.2">
      <c r="B439" s="46"/>
      <c r="C439" s="46"/>
      <c r="D439" s="46"/>
      <c r="E439" s="46"/>
      <c r="F439" s="46"/>
      <c r="G439" s="46"/>
      <c r="H439" s="46"/>
      <c r="I439" s="46"/>
      <c r="J439" s="46"/>
      <c r="K439" s="46"/>
      <c r="L439" s="46"/>
      <c r="M439" s="46"/>
      <c r="N439" s="46"/>
      <c r="O439" s="46"/>
    </row>
    <row r="440" spans="2:15" x14ac:dyDescent="0.2">
      <c r="B440" s="46"/>
      <c r="C440" s="46"/>
      <c r="D440" s="46"/>
      <c r="E440" s="46"/>
      <c r="F440" s="46"/>
      <c r="G440" s="46"/>
      <c r="H440" s="46"/>
      <c r="I440" s="46"/>
      <c r="J440" s="46"/>
      <c r="K440" s="46"/>
      <c r="L440" s="46"/>
      <c r="M440" s="46"/>
      <c r="N440" s="46"/>
      <c r="O440" s="46"/>
    </row>
    <row r="441" spans="2:15" x14ac:dyDescent="0.2">
      <c r="B441" s="46"/>
      <c r="C441" s="46"/>
      <c r="D441" s="46"/>
      <c r="E441" s="46"/>
      <c r="F441" s="46"/>
      <c r="G441" s="46"/>
      <c r="H441" s="46"/>
      <c r="I441" s="46"/>
      <c r="J441" s="46"/>
      <c r="K441" s="46"/>
      <c r="L441" s="46"/>
      <c r="M441" s="46"/>
      <c r="N441" s="46"/>
      <c r="O441" s="46"/>
    </row>
    <row r="442" spans="2:15" x14ac:dyDescent="0.2">
      <c r="B442" s="46"/>
      <c r="C442" s="46"/>
      <c r="D442" s="46"/>
      <c r="E442" s="46"/>
      <c r="F442" s="46"/>
      <c r="G442" s="46"/>
      <c r="H442" s="46"/>
      <c r="I442" s="46"/>
      <c r="J442" s="46"/>
      <c r="K442" s="46"/>
      <c r="L442" s="46"/>
      <c r="M442" s="46"/>
      <c r="N442" s="46"/>
      <c r="O442" s="46"/>
    </row>
    <row r="443" spans="2:15" x14ac:dyDescent="0.2">
      <c r="B443" s="46"/>
      <c r="C443" s="46"/>
      <c r="D443" s="46"/>
      <c r="E443" s="46"/>
      <c r="F443" s="46"/>
      <c r="G443" s="46"/>
      <c r="H443" s="46"/>
      <c r="I443" s="46"/>
      <c r="J443" s="46"/>
      <c r="K443" s="46"/>
      <c r="L443" s="46"/>
      <c r="M443" s="46"/>
      <c r="N443" s="46"/>
      <c r="O443" s="46"/>
    </row>
    <row r="444" spans="2:15" x14ac:dyDescent="0.2">
      <c r="B444" s="46"/>
      <c r="C444" s="46"/>
      <c r="D444" s="46"/>
      <c r="E444" s="46"/>
      <c r="F444" s="46"/>
      <c r="G444" s="46"/>
      <c r="H444" s="46"/>
      <c r="I444" s="46"/>
      <c r="J444" s="46"/>
      <c r="K444" s="46"/>
      <c r="L444" s="46"/>
      <c r="M444" s="46"/>
      <c r="N444" s="46"/>
      <c r="O444" s="46"/>
    </row>
    <row r="445" spans="2:15" x14ac:dyDescent="0.2">
      <c r="B445" s="46"/>
      <c r="C445" s="46"/>
      <c r="D445" s="46"/>
      <c r="E445" s="46"/>
      <c r="F445" s="46"/>
      <c r="G445" s="46"/>
      <c r="H445" s="46"/>
      <c r="I445" s="46"/>
      <c r="J445" s="46"/>
      <c r="K445" s="46"/>
      <c r="L445" s="46"/>
      <c r="M445" s="46"/>
      <c r="N445" s="46"/>
      <c r="O445" s="46"/>
    </row>
    <row r="446" spans="2:15" x14ac:dyDescent="0.2">
      <c r="B446" s="46"/>
      <c r="C446" s="46"/>
      <c r="D446" s="46"/>
      <c r="E446" s="46"/>
      <c r="F446" s="46"/>
      <c r="G446" s="46"/>
      <c r="H446" s="46"/>
      <c r="I446" s="46"/>
      <c r="J446" s="46"/>
      <c r="K446" s="46"/>
      <c r="L446" s="46"/>
      <c r="M446" s="46"/>
      <c r="N446" s="46"/>
      <c r="O446" s="46"/>
    </row>
    <row r="447" spans="2:15" x14ac:dyDescent="0.2">
      <c r="B447" s="46"/>
      <c r="C447" s="46"/>
      <c r="D447" s="46"/>
      <c r="E447" s="46"/>
      <c r="F447" s="46"/>
      <c r="G447" s="46"/>
      <c r="H447" s="46"/>
      <c r="I447" s="46"/>
      <c r="J447" s="46"/>
      <c r="K447" s="46"/>
      <c r="L447" s="46"/>
      <c r="M447" s="46"/>
      <c r="N447" s="46"/>
      <c r="O447" s="46"/>
    </row>
    <row r="448" spans="2:15" x14ac:dyDescent="0.2">
      <c r="B448" s="46"/>
      <c r="C448" s="46"/>
      <c r="D448" s="46"/>
      <c r="E448" s="46"/>
      <c r="F448" s="46"/>
      <c r="G448" s="46"/>
      <c r="H448" s="46"/>
      <c r="I448" s="46"/>
      <c r="J448" s="46"/>
      <c r="K448" s="46"/>
      <c r="L448" s="46"/>
      <c r="M448" s="46"/>
      <c r="N448" s="46"/>
      <c r="O448" s="46"/>
    </row>
    <row r="449" spans="2:15" x14ac:dyDescent="0.2">
      <c r="B449" s="46"/>
      <c r="C449" s="46"/>
      <c r="D449" s="46"/>
      <c r="E449" s="46"/>
      <c r="F449" s="46"/>
      <c r="G449" s="46"/>
      <c r="H449" s="46"/>
      <c r="I449" s="46"/>
      <c r="J449" s="46"/>
      <c r="K449" s="46"/>
      <c r="L449" s="46"/>
      <c r="M449" s="46"/>
      <c r="N449" s="46"/>
      <c r="O449" s="46"/>
    </row>
    <row r="450" spans="2:15" x14ac:dyDescent="0.2">
      <c r="B450" s="46"/>
      <c r="C450" s="46"/>
      <c r="D450" s="46"/>
      <c r="E450" s="46"/>
      <c r="F450" s="46"/>
      <c r="G450" s="46"/>
      <c r="H450" s="46"/>
      <c r="I450" s="46"/>
      <c r="J450" s="46"/>
      <c r="K450" s="46"/>
      <c r="L450" s="46"/>
      <c r="M450" s="46"/>
      <c r="N450" s="46"/>
      <c r="O450" s="46"/>
    </row>
    <row r="451" spans="2:15" x14ac:dyDescent="0.2">
      <c r="B451" s="46"/>
      <c r="C451" s="46"/>
      <c r="D451" s="46"/>
      <c r="E451" s="46"/>
      <c r="F451" s="46"/>
      <c r="G451" s="46"/>
      <c r="H451" s="46"/>
      <c r="I451" s="46"/>
      <c r="J451" s="46"/>
      <c r="K451" s="46"/>
      <c r="L451" s="46"/>
      <c r="M451" s="46"/>
      <c r="N451" s="46"/>
      <c r="O451" s="46"/>
    </row>
    <row r="452" spans="2:15" x14ac:dyDescent="0.2">
      <c r="B452" s="46"/>
      <c r="C452" s="46"/>
      <c r="D452" s="46"/>
      <c r="E452" s="46"/>
      <c r="F452" s="46"/>
      <c r="G452" s="46"/>
      <c r="H452" s="46"/>
      <c r="I452" s="46"/>
      <c r="J452" s="46"/>
      <c r="K452" s="46"/>
      <c r="L452" s="46"/>
      <c r="M452" s="46"/>
      <c r="N452" s="46"/>
      <c r="O452" s="46"/>
    </row>
    <row r="453" spans="2:15" x14ac:dyDescent="0.2">
      <c r="B453" s="46"/>
      <c r="C453" s="46"/>
      <c r="D453" s="46"/>
      <c r="E453" s="46"/>
      <c r="F453" s="46"/>
      <c r="G453" s="46"/>
      <c r="H453" s="46"/>
      <c r="I453" s="46"/>
      <c r="J453" s="46"/>
      <c r="K453" s="46"/>
      <c r="L453" s="46"/>
      <c r="M453" s="46"/>
      <c r="N453" s="46"/>
      <c r="O453" s="46"/>
    </row>
    <row r="454" spans="2:15" x14ac:dyDescent="0.2">
      <c r="B454" s="46"/>
      <c r="C454" s="46"/>
      <c r="D454" s="46"/>
      <c r="E454" s="46"/>
      <c r="F454" s="46"/>
      <c r="G454" s="46"/>
      <c r="H454" s="46"/>
      <c r="I454" s="46"/>
      <c r="J454" s="46"/>
      <c r="K454" s="46"/>
      <c r="L454" s="46"/>
      <c r="M454" s="46"/>
      <c r="N454" s="46"/>
      <c r="O454" s="46"/>
    </row>
    <row r="455" spans="2:15" x14ac:dyDescent="0.2">
      <c r="B455" s="46"/>
      <c r="C455" s="46"/>
      <c r="D455" s="46"/>
      <c r="E455" s="46"/>
      <c r="F455" s="46"/>
      <c r="G455" s="46"/>
      <c r="H455" s="46"/>
      <c r="I455" s="46"/>
      <c r="J455" s="46"/>
      <c r="K455" s="46"/>
      <c r="L455" s="46"/>
      <c r="M455" s="46"/>
      <c r="N455" s="46"/>
      <c r="O455" s="46"/>
    </row>
    <row r="456" spans="2:15" x14ac:dyDescent="0.2">
      <c r="B456" s="46"/>
      <c r="C456" s="46"/>
      <c r="D456" s="46"/>
      <c r="E456" s="46"/>
      <c r="F456" s="46"/>
      <c r="G456" s="46"/>
      <c r="H456" s="46"/>
      <c r="I456" s="46"/>
      <c r="J456" s="46"/>
      <c r="K456" s="46"/>
      <c r="L456" s="46"/>
      <c r="M456" s="46"/>
      <c r="N456" s="46"/>
      <c r="O456" s="46"/>
    </row>
    <row r="457" spans="2:15" x14ac:dyDescent="0.2">
      <c r="B457" s="46"/>
      <c r="C457" s="46"/>
      <c r="D457" s="46"/>
      <c r="E457" s="46"/>
      <c r="F457" s="46"/>
      <c r="G457" s="46"/>
      <c r="H457" s="46"/>
      <c r="I457" s="46"/>
      <c r="J457" s="46"/>
      <c r="K457" s="46"/>
      <c r="L457" s="46"/>
      <c r="M457" s="46"/>
      <c r="N457" s="46"/>
      <c r="O457" s="46"/>
    </row>
    <row r="458" spans="2:15" x14ac:dyDescent="0.2">
      <c r="B458" s="46"/>
      <c r="C458" s="46"/>
      <c r="D458" s="46"/>
      <c r="E458" s="46"/>
      <c r="F458" s="46"/>
      <c r="G458" s="46"/>
      <c r="H458" s="46"/>
      <c r="I458" s="46"/>
      <c r="J458" s="46"/>
      <c r="K458" s="46"/>
      <c r="L458" s="46"/>
      <c r="M458" s="46"/>
      <c r="N458" s="46"/>
      <c r="O458" s="46"/>
    </row>
    <row r="459" spans="2:15" x14ac:dyDescent="0.2">
      <c r="B459" s="46"/>
      <c r="C459" s="46"/>
      <c r="D459" s="46"/>
      <c r="E459" s="46"/>
      <c r="F459" s="46"/>
      <c r="G459" s="46"/>
      <c r="H459" s="46"/>
      <c r="I459" s="46"/>
      <c r="J459" s="46"/>
      <c r="K459" s="46"/>
      <c r="L459" s="46"/>
      <c r="M459" s="46"/>
      <c r="N459" s="46"/>
      <c r="O459" s="46"/>
    </row>
    <row r="460" spans="2:15" x14ac:dyDescent="0.2">
      <c r="B460" s="46"/>
      <c r="C460" s="46"/>
      <c r="D460" s="46"/>
      <c r="E460" s="46"/>
      <c r="F460" s="46"/>
      <c r="G460" s="46"/>
      <c r="H460" s="46"/>
      <c r="I460" s="46"/>
      <c r="J460" s="46"/>
      <c r="K460" s="46"/>
      <c r="L460" s="46"/>
      <c r="M460" s="46"/>
      <c r="N460" s="46"/>
      <c r="O460" s="46"/>
    </row>
    <row r="461" spans="2:15" x14ac:dyDescent="0.2">
      <c r="B461" s="46"/>
      <c r="C461" s="46"/>
      <c r="D461" s="46"/>
      <c r="E461" s="46"/>
      <c r="F461" s="46"/>
      <c r="G461" s="46"/>
      <c r="H461" s="46"/>
      <c r="I461" s="46"/>
      <c r="J461" s="46"/>
      <c r="K461" s="46"/>
      <c r="L461" s="46"/>
      <c r="M461" s="46"/>
      <c r="N461" s="46"/>
      <c r="O461" s="46"/>
    </row>
    <row r="462" spans="2:15" x14ac:dyDescent="0.2">
      <c r="B462" s="46"/>
      <c r="C462" s="46"/>
      <c r="D462" s="46"/>
      <c r="E462" s="46"/>
      <c r="F462" s="46"/>
      <c r="G462" s="46"/>
      <c r="H462" s="46"/>
      <c r="I462" s="46"/>
      <c r="J462" s="46"/>
      <c r="K462" s="46"/>
      <c r="L462" s="46"/>
      <c r="M462" s="46"/>
      <c r="N462" s="46"/>
      <c r="O462" s="46"/>
    </row>
    <row r="463" spans="2:15" x14ac:dyDescent="0.2">
      <c r="B463" s="46"/>
      <c r="C463" s="46"/>
      <c r="D463" s="46"/>
      <c r="E463" s="46"/>
      <c r="F463" s="46"/>
      <c r="G463" s="46"/>
      <c r="H463" s="46"/>
      <c r="I463" s="46"/>
      <c r="J463" s="46"/>
      <c r="K463" s="46"/>
      <c r="L463" s="46"/>
      <c r="M463" s="46"/>
      <c r="N463" s="46"/>
      <c r="O463" s="46"/>
    </row>
    <row r="464" spans="2:15" x14ac:dyDescent="0.2">
      <c r="B464" s="46"/>
      <c r="C464" s="46"/>
      <c r="D464" s="46"/>
      <c r="E464" s="46"/>
      <c r="F464" s="46"/>
      <c r="G464" s="46"/>
      <c r="H464" s="46"/>
      <c r="I464" s="46"/>
      <c r="J464" s="46"/>
      <c r="K464" s="46"/>
      <c r="L464" s="46"/>
      <c r="M464" s="46"/>
      <c r="N464" s="46"/>
      <c r="O464" s="46"/>
    </row>
    <row r="465" spans="2:15" x14ac:dyDescent="0.2">
      <c r="B465" s="46"/>
      <c r="C465" s="46"/>
      <c r="D465" s="46"/>
      <c r="E465" s="46"/>
      <c r="F465" s="46"/>
      <c r="G465" s="46"/>
      <c r="H465" s="46"/>
      <c r="I465" s="46"/>
      <c r="J465" s="46"/>
      <c r="K465" s="46"/>
      <c r="L465" s="46"/>
      <c r="M465" s="46"/>
      <c r="N465" s="46"/>
      <c r="O465" s="46"/>
    </row>
    <row r="466" spans="2:15" x14ac:dyDescent="0.2">
      <c r="B466" s="46"/>
      <c r="C466" s="46"/>
      <c r="D466" s="46"/>
      <c r="E466" s="46"/>
      <c r="F466" s="46"/>
      <c r="G466" s="46"/>
      <c r="H466" s="46"/>
      <c r="I466" s="46"/>
      <c r="J466" s="46"/>
      <c r="K466" s="46"/>
      <c r="L466" s="46"/>
      <c r="M466" s="46"/>
      <c r="N466" s="46"/>
      <c r="O466" s="46"/>
    </row>
    <row r="467" spans="2:15" x14ac:dyDescent="0.2">
      <c r="B467" s="46"/>
      <c r="C467" s="46"/>
      <c r="D467" s="46"/>
      <c r="E467" s="46"/>
      <c r="F467" s="46"/>
      <c r="G467" s="46"/>
      <c r="H467" s="46"/>
      <c r="I467" s="46"/>
      <c r="J467" s="46"/>
      <c r="K467" s="46"/>
      <c r="L467" s="46"/>
      <c r="M467" s="46"/>
      <c r="N467" s="46"/>
      <c r="O467" s="46"/>
    </row>
    <row r="468" spans="2:15" x14ac:dyDescent="0.2">
      <c r="B468" s="46"/>
      <c r="C468" s="46"/>
      <c r="D468" s="46"/>
      <c r="E468" s="46"/>
      <c r="F468" s="46"/>
      <c r="G468" s="46"/>
      <c r="H468" s="46"/>
      <c r="I468" s="46"/>
      <c r="J468" s="46"/>
      <c r="K468" s="46"/>
      <c r="L468" s="46"/>
      <c r="M468" s="46"/>
      <c r="N468" s="46"/>
      <c r="O468" s="46"/>
    </row>
    <row r="469" spans="2:15" x14ac:dyDescent="0.2">
      <c r="B469" s="46"/>
      <c r="C469" s="46"/>
      <c r="D469" s="46"/>
      <c r="E469" s="46"/>
      <c r="F469" s="46"/>
      <c r="G469" s="46"/>
      <c r="H469" s="46"/>
      <c r="I469" s="46"/>
      <c r="J469" s="46"/>
      <c r="K469" s="46"/>
      <c r="L469" s="46"/>
      <c r="M469" s="46"/>
      <c r="N469" s="46"/>
      <c r="O469" s="46"/>
    </row>
    <row r="470" spans="2:15" x14ac:dyDescent="0.2">
      <c r="B470" s="46"/>
      <c r="C470" s="46"/>
      <c r="D470" s="46"/>
      <c r="E470" s="46"/>
      <c r="F470" s="46"/>
      <c r="G470" s="46"/>
      <c r="H470" s="46"/>
      <c r="I470" s="46"/>
      <c r="J470" s="46"/>
      <c r="K470" s="46"/>
      <c r="L470" s="46"/>
      <c r="M470" s="46"/>
      <c r="N470" s="46"/>
      <c r="O470" s="46"/>
    </row>
    <row r="471" spans="2:15" x14ac:dyDescent="0.2">
      <c r="B471" s="46"/>
      <c r="C471" s="46"/>
      <c r="D471" s="46"/>
      <c r="E471" s="46"/>
      <c r="F471" s="46"/>
      <c r="G471" s="46"/>
      <c r="H471" s="46"/>
      <c r="I471" s="46"/>
      <c r="J471" s="46"/>
      <c r="K471" s="46"/>
      <c r="L471" s="46"/>
      <c r="M471" s="46"/>
      <c r="N471" s="46"/>
      <c r="O471" s="46"/>
    </row>
    <row r="472" spans="2:15" x14ac:dyDescent="0.2">
      <c r="B472" s="46"/>
      <c r="C472" s="46"/>
      <c r="D472" s="46"/>
      <c r="E472" s="46"/>
      <c r="F472" s="46"/>
      <c r="G472" s="46"/>
      <c r="H472" s="46"/>
      <c r="I472" s="46"/>
      <c r="J472" s="46"/>
      <c r="K472" s="46"/>
      <c r="L472" s="46"/>
      <c r="M472" s="46"/>
      <c r="N472" s="46"/>
      <c r="O472" s="46"/>
    </row>
    <row r="473" spans="2:15" x14ac:dyDescent="0.2">
      <c r="B473" s="46"/>
      <c r="C473" s="46"/>
      <c r="D473" s="46"/>
      <c r="E473" s="46"/>
      <c r="F473" s="46"/>
      <c r="G473" s="46"/>
      <c r="H473" s="46"/>
      <c r="I473" s="46"/>
      <c r="J473" s="46"/>
      <c r="K473" s="46"/>
      <c r="L473" s="46"/>
      <c r="M473" s="46"/>
      <c r="N473" s="46"/>
      <c r="O473" s="46"/>
    </row>
    <row r="474" spans="2:15" x14ac:dyDescent="0.2">
      <c r="B474" s="46"/>
      <c r="C474" s="46"/>
      <c r="D474" s="46"/>
      <c r="E474" s="46"/>
      <c r="F474" s="46"/>
      <c r="G474" s="46"/>
      <c r="H474" s="46"/>
      <c r="I474" s="46"/>
      <c r="J474" s="46"/>
      <c r="K474" s="46"/>
      <c r="L474" s="46"/>
      <c r="M474" s="46"/>
      <c r="N474" s="46"/>
      <c r="O474" s="46"/>
    </row>
    <row r="475" spans="2:15" x14ac:dyDescent="0.2">
      <c r="B475" s="46"/>
      <c r="C475" s="46"/>
      <c r="D475" s="46"/>
      <c r="E475" s="46"/>
      <c r="F475" s="46"/>
      <c r="G475" s="46"/>
      <c r="H475" s="46"/>
      <c r="I475" s="46"/>
      <c r="J475" s="46"/>
      <c r="K475" s="46"/>
      <c r="L475" s="46"/>
      <c r="M475" s="46"/>
      <c r="N475" s="46"/>
      <c r="O475" s="46"/>
    </row>
    <row r="476" spans="2:15" x14ac:dyDescent="0.2">
      <c r="B476" s="46"/>
      <c r="C476" s="46"/>
      <c r="D476" s="46"/>
      <c r="E476" s="46"/>
      <c r="F476" s="46"/>
      <c r="G476" s="46"/>
      <c r="H476" s="46"/>
      <c r="I476" s="46"/>
      <c r="J476" s="46"/>
      <c r="K476" s="46"/>
      <c r="L476" s="46"/>
      <c r="M476" s="46"/>
      <c r="N476" s="46"/>
      <c r="O476" s="46"/>
    </row>
    <row r="477" spans="2:15" x14ac:dyDescent="0.2">
      <c r="B477" s="46"/>
      <c r="C477" s="46"/>
      <c r="D477" s="46"/>
      <c r="E477" s="46"/>
      <c r="F477" s="46"/>
      <c r="G477" s="46"/>
      <c r="H477" s="46"/>
      <c r="I477" s="46"/>
      <c r="J477" s="46"/>
      <c r="K477" s="46"/>
      <c r="L477" s="46"/>
      <c r="M477" s="46"/>
      <c r="N477" s="46"/>
      <c r="O477" s="46"/>
    </row>
    <row r="478" spans="2:15" x14ac:dyDescent="0.2">
      <c r="B478" s="46"/>
      <c r="C478" s="46"/>
      <c r="D478" s="46"/>
      <c r="E478" s="46"/>
      <c r="F478" s="46"/>
      <c r="G478" s="46"/>
      <c r="H478" s="46"/>
      <c r="I478" s="46"/>
      <c r="J478" s="46"/>
      <c r="K478" s="46"/>
      <c r="L478" s="46"/>
      <c r="M478" s="46"/>
      <c r="N478" s="46"/>
      <c r="O478" s="46"/>
    </row>
    <row r="479" spans="2:15" x14ac:dyDescent="0.2">
      <c r="B479" s="46"/>
      <c r="C479" s="46"/>
      <c r="D479" s="46"/>
      <c r="E479" s="46"/>
      <c r="F479" s="46"/>
      <c r="G479" s="46"/>
      <c r="H479" s="46"/>
      <c r="I479" s="46"/>
      <c r="J479" s="46"/>
      <c r="K479" s="46"/>
      <c r="L479" s="46"/>
      <c r="M479" s="46"/>
      <c r="N479" s="46"/>
      <c r="O479" s="46"/>
    </row>
    <row r="480" spans="2:15" x14ac:dyDescent="0.2">
      <c r="B480" s="46"/>
      <c r="C480" s="46"/>
      <c r="D480" s="46"/>
      <c r="E480" s="46"/>
      <c r="F480" s="46"/>
      <c r="G480" s="46"/>
      <c r="H480" s="46"/>
      <c r="I480" s="46"/>
      <c r="J480" s="46"/>
      <c r="K480" s="46"/>
      <c r="L480" s="46"/>
      <c r="M480" s="46"/>
      <c r="N480" s="46"/>
      <c r="O480" s="46"/>
    </row>
    <row r="481" spans="2:15" x14ac:dyDescent="0.2">
      <c r="B481" s="46"/>
      <c r="C481" s="46"/>
      <c r="D481" s="46"/>
      <c r="E481" s="46"/>
      <c r="F481" s="46"/>
      <c r="G481" s="46"/>
      <c r="H481" s="46"/>
      <c r="I481" s="46"/>
      <c r="J481" s="46"/>
      <c r="K481" s="46"/>
      <c r="L481" s="46"/>
      <c r="M481" s="46"/>
      <c r="N481" s="46"/>
      <c r="O481" s="46"/>
    </row>
    <row r="482" spans="2:15" x14ac:dyDescent="0.2">
      <c r="B482" s="46"/>
      <c r="C482" s="46"/>
      <c r="D482" s="46"/>
      <c r="E482" s="46"/>
      <c r="F482" s="46"/>
      <c r="G482" s="46"/>
      <c r="H482" s="46"/>
      <c r="I482" s="46"/>
      <c r="J482" s="46"/>
      <c r="K482" s="46"/>
      <c r="L482" s="46"/>
      <c r="M482" s="46"/>
      <c r="N482" s="46"/>
      <c r="O482" s="46"/>
    </row>
    <row r="483" spans="2:15" x14ac:dyDescent="0.2">
      <c r="B483" s="46"/>
      <c r="C483" s="46"/>
      <c r="D483" s="46"/>
      <c r="E483" s="46"/>
      <c r="F483" s="46"/>
      <c r="G483" s="46"/>
      <c r="H483" s="46"/>
      <c r="I483" s="46"/>
      <c r="J483" s="46"/>
      <c r="K483" s="46"/>
      <c r="L483" s="46"/>
      <c r="M483" s="46"/>
      <c r="N483" s="46"/>
      <c r="O483" s="46"/>
    </row>
    <row r="484" spans="2:15" x14ac:dyDescent="0.2">
      <c r="B484" s="46"/>
      <c r="C484" s="46"/>
      <c r="D484" s="46"/>
      <c r="E484" s="46"/>
      <c r="F484" s="46"/>
      <c r="G484" s="46"/>
      <c r="H484" s="46"/>
      <c r="I484" s="46"/>
      <c r="J484" s="46"/>
      <c r="K484" s="46"/>
      <c r="L484" s="46"/>
      <c r="M484" s="46"/>
      <c r="N484" s="46"/>
      <c r="O484" s="46"/>
    </row>
    <row r="485" spans="2:15" x14ac:dyDescent="0.2">
      <c r="B485" s="46"/>
      <c r="C485" s="46"/>
      <c r="D485" s="46"/>
      <c r="E485" s="46"/>
      <c r="F485" s="46"/>
      <c r="G485" s="46"/>
      <c r="H485" s="46"/>
      <c r="I485" s="46"/>
      <c r="J485" s="46"/>
      <c r="K485" s="46"/>
      <c r="L485" s="46"/>
      <c r="M485" s="46"/>
      <c r="N485" s="46"/>
      <c r="O485" s="46"/>
    </row>
    <row r="486" spans="2:15" x14ac:dyDescent="0.2">
      <c r="B486" s="46"/>
      <c r="C486" s="46"/>
      <c r="D486" s="46"/>
      <c r="E486" s="46"/>
      <c r="F486" s="46"/>
      <c r="G486" s="46"/>
      <c r="H486" s="46"/>
      <c r="I486" s="46"/>
      <c r="J486" s="46"/>
      <c r="K486" s="46"/>
      <c r="L486" s="46"/>
      <c r="M486" s="46"/>
      <c r="N486" s="46"/>
      <c r="O486" s="46"/>
    </row>
    <row r="487" spans="2:15" x14ac:dyDescent="0.2">
      <c r="B487" s="46"/>
      <c r="C487" s="46"/>
      <c r="D487" s="46"/>
      <c r="E487" s="46"/>
      <c r="F487" s="46"/>
      <c r="G487" s="46"/>
      <c r="H487" s="46"/>
      <c r="I487" s="46"/>
      <c r="J487" s="46"/>
      <c r="K487" s="46"/>
      <c r="L487" s="46"/>
      <c r="M487" s="46"/>
      <c r="N487" s="46"/>
      <c r="O487" s="46"/>
    </row>
    <row r="488" spans="2:15" x14ac:dyDescent="0.2">
      <c r="B488" s="46"/>
      <c r="C488" s="46"/>
      <c r="D488" s="46"/>
      <c r="E488" s="46"/>
      <c r="F488" s="46"/>
      <c r="G488" s="46"/>
      <c r="H488" s="46"/>
      <c r="I488" s="46"/>
      <c r="J488" s="46"/>
      <c r="K488" s="46"/>
      <c r="L488" s="46"/>
      <c r="M488" s="46"/>
      <c r="N488" s="46"/>
      <c r="O488" s="46"/>
    </row>
    <row r="489" spans="2:15" x14ac:dyDescent="0.2">
      <c r="B489" s="46"/>
      <c r="C489" s="46"/>
      <c r="D489" s="46"/>
      <c r="E489" s="46"/>
      <c r="F489" s="46"/>
      <c r="G489" s="46"/>
      <c r="H489" s="46"/>
      <c r="I489" s="46"/>
      <c r="J489" s="46"/>
      <c r="K489" s="46"/>
      <c r="L489" s="46"/>
      <c r="M489" s="46"/>
      <c r="N489" s="46"/>
      <c r="O489" s="46"/>
    </row>
    <row r="490" spans="2:15" x14ac:dyDescent="0.2">
      <c r="B490" s="46"/>
      <c r="C490" s="46"/>
      <c r="D490" s="46"/>
      <c r="E490" s="46"/>
      <c r="F490" s="46"/>
      <c r="G490" s="46"/>
      <c r="H490" s="46"/>
      <c r="I490" s="46"/>
      <c r="J490" s="46"/>
      <c r="K490" s="46"/>
      <c r="L490" s="46"/>
      <c r="M490" s="46"/>
      <c r="N490" s="46"/>
      <c r="O490" s="46"/>
    </row>
    <row r="491" spans="2:15" x14ac:dyDescent="0.2">
      <c r="B491" s="46"/>
      <c r="C491" s="46"/>
      <c r="D491" s="46"/>
      <c r="E491" s="46"/>
      <c r="F491" s="46"/>
      <c r="G491" s="46"/>
      <c r="H491" s="46"/>
      <c r="I491" s="46"/>
      <c r="J491" s="46"/>
      <c r="K491" s="46"/>
      <c r="L491" s="46"/>
      <c r="M491" s="46"/>
      <c r="N491" s="46"/>
      <c r="O491" s="46"/>
    </row>
    <row r="492" spans="2:15" x14ac:dyDescent="0.2">
      <c r="B492" s="46"/>
      <c r="C492" s="46"/>
      <c r="D492" s="46"/>
      <c r="E492" s="46"/>
      <c r="F492" s="46"/>
      <c r="G492" s="46"/>
      <c r="H492" s="46"/>
      <c r="I492" s="46"/>
      <c r="J492" s="46"/>
      <c r="K492" s="46"/>
      <c r="L492" s="46"/>
      <c r="M492" s="46"/>
      <c r="N492" s="46"/>
      <c r="O492" s="46"/>
    </row>
    <row r="493" spans="2:15" x14ac:dyDescent="0.2">
      <c r="B493" s="46"/>
      <c r="C493" s="46"/>
      <c r="D493" s="46"/>
      <c r="E493" s="46"/>
      <c r="F493" s="46"/>
      <c r="G493" s="46"/>
      <c r="H493" s="46"/>
      <c r="I493" s="46"/>
      <c r="J493" s="46"/>
      <c r="K493" s="46"/>
      <c r="L493" s="46"/>
      <c r="M493" s="46"/>
      <c r="N493" s="46"/>
      <c r="O493" s="46"/>
    </row>
    <row r="494" spans="2:15" x14ac:dyDescent="0.2">
      <c r="B494" s="46"/>
      <c r="C494" s="46"/>
      <c r="D494" s="46"/>
      <c r="E494" s="46"/>
      <c r="F494" s="46"/>
      <c r="G494" s="46"/>
      <c r="H494" s="46"/>
      <c r="I494" s="46"/>
      <c r="J494" s="46"/>
      <c r="K494" s="46"/>
      <c r="L494" s="46"/>
      <c r="M494" s="46"/>
      <c r="N494" s="46"/>
      <c r="O494" s="46"/>
    </row>
    <row r="495" spans="2:15" x14ac:dyDescent="0.2">
      <c r="B495" s="46"/>
      <c r="C495" s="46"/>
      <c r="D495" s="46"/>
      <c r="E495" s="46"/>
      <c r="F495" s="46"/>
      <c r="G495" s="46"/>
      <c r="H495" s="46"/>
      <c r="I495" s="46"/>
      <c r="J495" s="46"/>
      <c r="K495" s="46"/>
      <c r="L495" s="46"/>
      <c r="M495" s="46"/>
      <c r="N495" s="46"/>
      <c r="O495" s="46"/>
    </row>
    <row r="496" spans="2:15" x14ac:dyDescent="0.2">
      <c r="B496" s="46"/>
      <c r="C496" s="46"/>
      <c r="D496" s="46"/>
      <c r="E496" s="46"/>
      <c r="F496" s="46"/>
      <c r="G496" s="46"/>
      <c r="H496" s="46"/>
      <c r="I496" s="46"/>
      <c r="J496" s="46"/>
      <c r="K496" s="46"/>
      <c r="L496" s="46"/>
      <c r="M496" s="46"/>
      <c r="N496" s="46"/>
      <c r="O496" s="46"/>
    </row>
    <row r="497" spans="2:15" x14ac:dyDescent="0.2">
      <c r="B497" s="46"/>
      <c r="C497" s="46"/>
      <c r="D497" s="46"/>
      <c r="E497" s="46"/>
      <c r="F497" s="46"/>
      <c r="G497" s="46"/>
      <c r="H497" s="46"/>
      <c r="I497" s="46"/>
      <c r="J497" s="46"/>
      <c r="K497" s="46"/>
      <c r="L497" s="46"/>
      <c r="M497" s="46"/>
      <c r="N497" s="46"/>
      <c r="O497" s="46"/>
    </row>
    <row r="498" spans="2:15" x14ac:dyDescent="0.2">
      <c r="B498" s="46"/>
      <c r="C498" s="46"/>
      <c r="D498" s="46"/>
      <c r="E498" s="46"/>
      <c r="F498" s="46"/>
      <c r="G498" s="46"/>
      <c r="H498" s="46"/>
      <c r="I498" s="46"/>
      <c r="J498" s="46"/>
      <c r="K498" s="46"/>
      <c r="L498" s="46"/>
      <c r="M498" s="46"/>
      <c r="N498" s="46"/>
      <c r="O498" s="46"/>
    </row>
  </sheetData>
  <mergeCells count="16">
    <mergeCell ref="B9:B11"/>
    <mergeCell ref="D9:M9"/>
    <mergeCell ref="D10:M10"/>
    <mergeCell ref="D11:M11"/>
    <mergeCell ref="A1:N1"/>
    <mergeCell ref="A2:N2"/>
    <mergeCell ref="D4:M4"/>
    <mergeCell ref="D5:M5"/>
    <mergeCell ref="D6:M6"/>
    <mergeCell ref="C18:M18"/>
    <mergeCell ref="C23:M23"/>
    <mergeCell ref="B12:B15"/>
    <mergeCell ref="D12:M12"/>
    <mergeCell ref="D15:M15"/>
    <mergeCell ref="D13:M13"/>
    <mergeCell ref="D14:M14"/>
  </mergeCells>
  <pageMargins left="0.25" right="0.25" top="0.5" bottom="0.5" header="0.3" footer="0.3"/>
  <pageSetup orientation="landscape" horizontalDpi="1200" verticalDpi="1200" r:id="rId1"/>
  <headerFooter>
    <oddFooter>Page &amp;P&amp;R&amp;F</oddFooter>
  </headerFooter>
  <rowBreaks count="1" manualBreakCount="1">
    <brk id="1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zoomScale="85" zoomScaleNormal="85" workbookViewId="0">
      <selection activeCell="M31" sqref="M31"/>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Y359"/>
  <sheetViews>
    <sheetView tabSelected="1" workbookViewId="0">
      <selection activeCell="G5" sqref="G5:J5"/>
    </sheetView>
  </sheetViews>
  <sheetFormatPr defaultRowHeight="12.75" x14ac:dyDescent="0.2"/>
  <cols>
    <col min="1" max="1" width="1.85546875" style="263" customWidth="1"/>
    <col min="2" max="2" width="3.7109375" style="287" customWidth="1"/>
    <col min="3" max="3" width="29.5703125" style="264" customWidth="1"/>
    <col min="4" max="4" width="38.5703125" style="264" customWidth="1"/>
    <col min="5" max="6" width="12.28515625" style="264" customWidth="1"/>
    <col min="7" max="7" width="12.85546875" style="264" customWidth="1"/>
    <col min="8" max="8" width="13.5703125" style="264" customWidth="1"/>
    <col min="9" max="9" width="12.7109375" style="263" customWidth="1"/>
    <col min="10" max="10" width="14.42578125" style="264" customWidth="1"/>
    <col min="11" max="11" width="12" style="264" customWidth="1"/>
    <col min="12" max="12" width="11.42578125" style="264" customWidth="1"/>
    <col min="13" max="13" width="9.28515625" style="264" customWidth="1"/>
    <col min="14" max="14" width="14.7109375" style="264" customWidth="1"/>
    <col min="15" max="15" width="13" style="264" customWidth="1"/>
    <col min="16" max="16" width="49.7109375" style="264" customWidth="1"/>
    <col min="17" max="17" width="2.140625" style="263" customWidth="1"/>
    <col min="18" max="25" width="9.140625" style="263"/>
    <col min="26" max="16384" width="9.140625" style="264"/>
  </cols>
  <sheetData>
    <row r="1" spans="1:25" ht="20.25" x14ac:dyDescent="0.3">
      <c r="B1" s="307" t="s">
        <v>44</v>
      </c>
      <c r="C1" s="307"/>
      <c r="D1" s="307"/>
      <c r="E1" s="307"/>
      <c r="F1" s="307"/>
      <c r="G1" s="307"/>
      <c r="H1" s="307"/>
      <c r="I1" s="307"/>
      <c r="J1" s="307"/>
      <c r="K1" s="307"/>
      <c r="L1" s="307"/>
      <c r="M1" s="307"/>
      <c r="N1" s="307"/>
      <c r="O1" s="307"/>
      <c r="P1" s="307"/>
      <c r="Q1" s="307"/>
    </row>
    <row r="2" spans="1:25" ht="20.25" x14ac:dyDescent="0.3">
      <c r="B2" s="307" t="s">
        <v>69</v>
      </c>
      <c r="C2" s="307"/>
      <c r="D2" s="307"/>
      <c r="E2" s="307"/>
      <c r="F2" s="307"/>
      <c r="G2" s="307"/>
      <c r="H2" s="307"/>
      <c r="I2" s="307"/>
      <c r="J2" s="307"/>
      <c r="K2" s="307"/>
      <c r="L2" s="307"/>
      <c r="M2" s="307"/>
      <c r="N2" s="307"/>
      <c r="O2" s="307"/>
      <c r="P2" s="307"/>
      <c r="Q2" s="307"/>
    </row>
    <row r="3" spans="1:25" ht="5.25" customHeight="1" x14ac:dyDescent="0.2">
      <c r="B3" s="265"/>
      <c r="C3" s="263"/>
      <c r="D3" s="263"/>
      <c r="E3" s="263"/>
      <c r="F3" s="263"/>
      <c r="G3" s="263"/>
      <c r="H3" s="263"/>
      <c r="J3" s="263"/>
      <c r="K3" s="263"/>
      <c r="L3" s="263"/>
      <c r="M3" s="263"/>
      <c r="N3" s="263"/>
      <c r="O3" s="263"/>
      <c r="P3" s="263"/>
    </row>
    <row r="4" spans="1:25" ht="13.5" thickBot="1" x14ac:dyDescent="0.25">
      <c r="B4" s="311" t="s">
        <v>70</v>
      </c>
      <c r="C4" s="311"/>
      <c r="D4" s="139" t="s">
        <v>220</v>
      </c>
      <c r="E4" s="49"/>
      <c r="F4" s="263"/>
      <c r="G4" s="263"/>
      <c r="H4" s="263"/>
      <c r="J4" s="263"/>
      <c r="K4" s="263"/>
      <c r="L4" s="263"/>
      <c r="M4" s="263"/>
      <c r="N4" s="263"/>
      <c r="O4" s="263"/>
      <c r="P4" s="263"/>
    </row>
    <row r="5" spans="1:25" ht="13.5" thickBot="1" x14ac:dyDescent="0.25">
      <c r="B5" s="311" t="s">
        <v>71</v>
      </c>
      <c r="C5" s="311"/>
      <c r="D5" s="266">
        <v>1</v>
      </c>
      <c r="E5" s="267" t="s">
        <v>3</v>
      </c>
      <c r="F5" s="50" t="s">
        <v>72</v>
      </c>
      <c r="G5" s="313" t="s">
        <v>429</v>
      </c>
      <c r="H5" s="313"/>
      <c r="I5" s="313"/>
      <c r="J5" s="313"/>
      <c r="K5" s="263"/>
      <c r="L5" s="263"/>
      <c r="M5" s="51" t="s">
        <v>58</v>
      </c>
      <c r="N5" s="268" t="str">
        <f>DQI!I10</f>
        <v>2,2,2,2,3</v>
      </c>
      <c r="O5" s="269"/>
      <c r="P5" s="270" t="s">
        <v>73</v>
      </c>
    </row>
    <row r="6" spans="1:25" ht="27.75" customHeight="1" x14ac:dyDescent="0.2">
      <c r="B6" s="328" t="s">
        <v>74</v>
      </c>
      <c r="C6" s="329"/>
      <c r="D6" s="330" t="s">
        <v>223</v>
      </c>
      <c r="E6" s="331"/>
      <c r="F6" s="331"/>
      <c r="G6" s="331"/>
      <c r="H6" s="331"/>
      <c r="I6" s="331"/>
      <c r="J6" s="331"/>
      <c r="K6" s="331"/>
      <c r="L6" s="331"/>
      <c r="M6" s="331"/>
      <c r="N6" s="331"/>
      <c r="O6" s="332"/>
      <c r="P6" s="271"/>
    </row>
    <row r="7" spans="1:25" ht="13.5" thickBot="1" x14ac:dyDescent="0.25">
      <c r="B7" s="265"/>
      <c r="C7" s="263"/>
      <c r="D7" s="263"/>
      <c r="E7" s="263"/>
      <c r="F7" s="263"/>
      <c r="G7" s="263"/>
      <c r="H7" s="263"/>
      <c r="J7" s="263"/>
      <c r="K7" s="263"/>
      <c r="L7" s="263"/>
      <c r="M7" s="263"/>
      <c r="N7" s="263"/>
      <c r="O7" s="263"/>
      <c r="P7" s="263"/>
    </row>
    <row r="8" spans="1:25" s="273" customFormat="1" ht="13.5" thickBot="1" x14ac:dyDescent="0.25">
      <c r="A8" s="272"/>
      <c r="B8" s="316" t="s">
        <v>75</v>
      </c>
      <c r="C8" s="317"/>
      <c r="D8" s="317"/>
      <c r="E8" s="317"/>
      <c r="F8" s="317"/>
      <c r="G8" s="317"/>
      <c r="H8" s="317"/>
      <c r="I8" s="317"/>
      <c r="J8" s="317"/>
      <c r="K8" s="317"/>
      <c r="L8" s="317"/>
      <c r="M8" s="317"/>
      <c r="N8" s="317"/>
      <c r="O8" s="317"/>
      <c r="P8" s="318"/>
      <c r="Q8" s="272"/>
      <c r="R8" s="272"/>
      <c r="S8" s="272"/>
      <c r="T8" s="272"/>
      <c r="U8" s="272"/>
      <c r="V8" s="272"/>
      <c r="W8" s="272"/>
      <c r="X8" s="272"/>
      <c r="Y8" s="272"/>
    </row>
    <row r="9" spans="1:25" x14ac:dyDescent="0.2">
      <c r="B9" s="265"/>
      <c r="C9" s="263"/>
      <c r="D9" s="263"/>
      <c r="E9" s="263"/>
      <c r="F9" s="263"/>
      <c r="G9" s="263"/>
      <c r="H9" s="263"/>
      <c r="J9" s="263"/>
      <c r="K9" s="263"/>
      <c r="L9" s="263"/>
      <c r="M9" s="263"/>
      <c r="N9" s="263"/>
      <c r="O9" s="263"/>
      <c r="P9" s="263"/>
    </row>
    <row r="10" spans="1:25" x14ac:dyDescent="0.2">
      <c r="B10" s="311" t="s">
        <v>76</v>
      </c>
      <c r="C10" s="311"/>
      <c r="D10" s="319" t="s">
        <v>210</v>
      </c>
      <c r="E10" s="315"/>
      <c r="F10" s="263"/>
      <c r="G10" s="263"/>
      <c r="H10" s="263"/>
      <c r="J10" s="263"/>
      <c r="K10" s="263"/>
      <c r="L10" s="263"/>
      <c r="M10" s="263"/>
      <c r="N10" s="263"/>
      <c r="O10" s="263"/>
      <c r="P10" s="263"/>
    </row>
    <row r="11" spans="1:25" x14ac:dyDescent="0.2">
      <c r="B11" s="333" t="s">
        <v>77</v>
      </c>
      <c r="C11" s="334"/>
      <c r="D11" s="314" t="s">
        <v>399</v>
      </c>
      <c r="E11" s="315"/>
      <c r="F11" s="263"/>
      <c r="G11" s="263"/>
      <c r="H11" s="263"/>
      <c r="J11" s="263"/>
      <c r="K11" s="263"/>
      <c r="L11" s="263"/>
      <c r="M11" s="263"/>
      <c r="N11" s="263"/>
      <c r="O11" s="263"/>
      <c r="P11" s="263"/>
    </row>
    <row r="12" spans="1:25" x14ac:dyDescent="0.2">
      <c r="B12" s="311" t="s">
        <v>78</v>
      </c>
      <c r="C12" s="311"/>
      <c r="D12" s="312">
        <v>2012</v>
      </c>
      <c r="E12" s="312"/>
      <c r="F12" s="263"/>
      <c r="G12" s="263"/>
      <c r="H12" s="263"/>
      <c r="J12" s="263"/>
      <c r="K12" s="263"/>
      <c r="L12" s="263"/>
      <c r="M12" s="263"/>
      <c r="N12" s="263"/>
      <c r="O12" s="263"/>
      <c r="P12" s="263"/>
    </row>
    <row r="13" spans="1:25" x14ac:dyDescent="0.2">
      <c r="B13" s="311" t="s">
        <v>79</v>
      </c>
      <c r="C13" s="311"/>
      <c r="D13" s="312" t="s">
        <v>116</v>
      </c>
      <c r="E13" s="312"/>
      <c r="F13" s="263"/>
      <c r="G13" s="263"/>
      <c r="H13" s="263"/>
      <c r="J13" s="263"/>
      <c r="K13" s="263"/>
      <c r="L13" s="263"/>
      <c r="M13" s="263"/>
      <c r="N13" s="263"/>
      <c r="O13" s="263"/>
      <c r="P13" s="263"/>
    </row>
    <row r="14" spans="1:25" x14ac:dyDescent="0.2">
      <c r="B14" s="311" t="s">
        <v>81</v>
      </c>
      <c r="C14" s="311"/>
      <c r="D14" s="312" t="s">
        <v>82</v>
      </c>
      <c r="E14" s="312"/>
      <c r="F14" s="263"/>
      <c r="G14" s="263"/>
      <c r="H14" s="263"/>
      <c r="J14" s="263"/>
      <c r="K14" s="263"/>
      <c r="L14" s="263"/>
      <c r="M14" s="263"/>
      <c r="N14" s="263"/>
      <c r="O14" s="263"/>
      <c r="P14" s="263"/>
    </row>
    <row r="15" spans="1:25" x14ac:dyDescent="0.2">
      <c r="B15" s="311" t="s">
        <v>83</v>
      </c>
      <c r="C15" s="311"/>
      <c r="D15" s="312" t="s">
        <v>214</v>
      </c>
      <c r="E15" s="312"/>
      <c r="F15" s="263"/>
      <c r="G15" s="263"/>
      <c r="H15" s="263"/>
      <c r="J15" s="263"/>
      <c r="K15" s="263"/>
      <c r="L15" s="263"/>
      <c r="M15" s="263"/>
      <c r="N15" s="263"/>
      <c r="O15" s="263"/>
      <c r="P15" s="263"/>
    </row>
    <row r="16" spans="1:25" x14ac:dyDescent="0.2">
      <c r="B16" s="311" t="s">
        <v>84</v>
      </c>
      <c r="C16" s="311"/>
      <c r="D16" s="312" t="s">
        <v>85</v>
      </c>
      <c r="E16" s="312"/>
      <c r="F16" s="263"/>
      <c r="G16" s="263"/>
      <c r="H16" s="263"/>
      <c r="J16" s="263"/>
      <c r="K16" s="263"/>
      <c r="L16" s="263"/>
      <c r="M16" s="263"/>
      <c r="N16" s="263"/>
      <c r="O16" s="263"/>
      <c r="P16" s="263"/>
    </row>
    <row r="17" spans="1:25" ht="23.25" customHeight="1" x14ac:dyDescent="0.2">
      <c r="B17" s="320" t="s">
        <v>86</v>
      </c>
      <c r="C17" s="321"/>
      <c r="D17" s="322"/>
      <c r="E17" s="322"/>
      <c r="F17" s="263"/>
      <c r="G17" s="263"/>
      <c r="H17" s="263"/>
      <c r="J17" s="263"/>
      <c r="K17" s="263"/>
      <c r="L17" s="263"/>
      <c r="M17" s="263"/>
      <c r="N17" s="263"/>
      <c r="O17" s="263"/>
      <c r="P17" s="263"/>
    </row>
    <row r="18" spans="1:25" x14ac:dyDescent="0.2">
      <c r="B18" s="265"/>
      <c r="C18" s="263"/>
      <c r="D18" s="263"/>
      <c r="E18" s="263"/>
      <c r="F18" s="263"/>
      <c r="G18" s="263"/>
      <c r="H18" s="263"/>
      <c r="J18" s="263"/>
      <c r="K18" s="263"/>
      <c r="L18" s="263"/>
      <c r="M18" s="263"/>
      <c r="N18" s="263"/>
      <c r="O18" s="263"/>
      <c r="P18" s="263"/>
    </row>
    <row r="19" spans="1:25" ht="13.5" thickBot="1" x14ac:dyDescent="0.25">
      <c r="B19" s="265"/>
      <c r="C19" s="263"/>
      <c r="D19" s="263"/>
      <c r="E19" s="263"/>
      <c r="F19" s="263"/>
      <c r="G19" s="263"/>
      <c r="H19" s="263"/>
      <c r="J19" s="263"/>
      <c r="K19" s="263"/>
      <c r="L19" s="263"/>
      <c r="M19" s="263"/>
      <c r="N19" s="263"/>
      <c r="O19" s="263"/>
      <c r="P19" s="263"/>
    </row>
    <row r="20" spans="1:25" s="273" customFormat="1" ht="13.5" thickBot="1" x14ac:dyDescent="0.25">
      <c r="A20" s="272"/>
      <c r="B20" s="316" t="s">
        <v>87</v>
      </c>
      <c r="C20" s="317"/>
      <c r="D20" s="317"/>
      <c r="E20" s="317"/>
      <c r="F20" s="317"/>
      <c r="G20" s="317"/>
      <c r="H20" s="317"/>
      <c r="I20" s="317"/>
      <c r="J20" s="317"/>
      <c r="K20" s="317"/>
      <c r="L20" s="317"/>
      <c r="M20" s="317"/>
      <c r="N20" s="317"/>
      <c r="O20" s="317"/>
      <c r="P20" s="318"/>
      <c r="Q20" s="272"/>
      <c r="R20" s="272"/>
      <c r="S20" s="272"/>
      <c r="T20" s="272"/>
      <c r="U20" s="272"/>
      <c r="V20" s="272"/>
      <c r="W20" s="272"/>
      <c r="X20" s="272"/>
      <c r="Y20" s="272"/>
    </row>
    <row r="21" spans="1:25" x14ac:dyDescent="0.2">
      <c r="B21" s="265"/>
      <c r="C21" s="263"/>
      <c r="D21" s="263"/>
      <c r="E21" s="263"/>
      <c r="F21" s="263"/>
      <c r="G21" s="52" t="s">
        <v>88</v>
      </c>
      <c r="H21" s="263"/>
      <c r="J21" s="263"/>
      <c r="K21" s="263"/>
      <c r="L21" s="263"/>
      <c r="M21" s="263"/>
      <c r="N21" s="263"/>
      <c r="O21" s="263"/>
      <c r="P21" s="263"/>
    </row>
    <row r="22" spans="1:25" x14ac:dyDescent="0.2">
      <c r="B22" s="265"/>
      <c r="C22" s="53" t="s">
        <v>89</v>
      </c>
      <c r="D22" s="53" t="s">
        <v>90</v>
      </c>
      <c r="E22" s="53" t="s">
        <v>91</v>
      </c>
      <c r="F22" s="53" t="s">
        <v>207</v>
      </c>
      <c r="G22" s="53" t="s">
        <v>208</v>
      </c>
      <c r="H22" s="53" t="s">
        <v>99</v>
      </c>
      <c r="I22" s="53" t="s">
        <v>2</v>
      </c>
      <c r="J22" s="323" t="s">
        <v>93</v>
      </c>
      <c r="K22" s="324"/>
      <c r="L22" s="324"/>
      <c r="M22" s="324"/>
      <c r="N22" s="324"/>
      <c r="O22" s="324"/>
      <c r="P22" s="325"/>
    </row>
    <row r="23" spans="1:25" x14ac:dyDescent="0.2">
      <c r="B23" s="270">
        <f t="shared" ref="B23:B37" si="0">LEN(C23)</f>
        <v>12</v>
      </c>
      <c r="C23" s="274" t="s">
        <v>218</v>
      </c>
      <c r="D23" s="275"/>
      <c r="E23" s="276">
        <f>PS!C7</f>
        <v>38.638140050277848</v>
      </c>
      <c r="F23" s="277"/>
      <c r="G23" s="277"/>
      <c r="H23" s="89" t="s">
        <v>346</v>
      </c>
      <c r="I23" s="89" t="s">
        <v>386</v>
      </c>
      <c r="J23" s="195" t="s">
        <v>330</v>
      </c>
      <c r="K23" s="196"/>
      <c r="L23" s="196"/>
      <c r="M23" s="196"/>
      <c r="N23" s="196"/>
      <c r="O23" s="196"/>
      <c r="P23" s="197"/>
    </row>
    <row r="24" spans="1:25" x14ac:dyDescent="0.2">
      <c r="B24" s="270">
        <f t="shared" si="0"/>
        <v>13</v>
      </c>
      <c r="C24" s="274" t="s">
        <v>340</v>
      </c>
      <c r="D24" s="275"/>
      <c r="E24" s="276">
        <f>PS!C8</f>
        <v>2.2437059655332097</v>
      </c>
      <c r="F24" s="277"/>
      <c r="G24" s="277"/>
      <c r="H24" s="89" t="s">
        <v>235</v>
      </c>
      <c r="I24" s="89" t="s">
        <v>386</v>
      </c>
      <c r="J24" s="195" t="s">
        <v>409</v>
      </c>
      <c r="K24" s="196"/>
      <c r="L24" s="196"/>
      <c r="M24" s="196"/>
      <c r="N24" s="196"/>
      <c r="O24" s="196"/>
      <c r="P24" s="197"/>
    </row>
    <row r="25" spans="1:25" x14ac:dyDescent="0.2">
      <c r="B25" s="270">
        <f t="shared" si="0"/>
        <v>10</v>
      </c>
      <c r="C25" s="274" t="s">
        <v>341</v>
      </c>
      <c r="D25" s="275"/>
      <c r="E25" s="276">
        <f>PS!C9</f>
        <v>3422.4414279571315</v>
      </c>
      <c r="F25" s="277"/>
      <c r="G25" s="277"/>
      <c r="H25" s="89" t="s">
        <v>237</v>
      </c>
      <c r="I25" s="89" t="s">
        <v>386</v>
      </c>
      <c r="J25" s="195" t="s">
        <v>325</v>
      </c>
      <c r="K25" s="196"/>
      <c r="L25" s="196"/>
      <c r="M25" s="196"/>
      <c r="N25" s="196"/>
      <c r="O25" s="196"/>
      <c r="P25" s="197"/>
    </row>
    <row r="26" spans="1:25" x14ac:dyDescent="0.2">
      <c r="B26" s="270">
        <f t="shared" si="0"/>
        <v>8</v>
      </c>
      <c r="C26" s="274" t="s">
        <v>342</v>
      </c>
      <c r="D26" s="275"/>
      <c r="E26" s="276">
        <f>PS!C10</f>
        <v>76.954109883567071</v>
      </c>
      <c r="F26" s="277"/>
      <c r="G26" s="277"/>
      <c r="H26" s="89" t="s">
        <v>239</v>
      </c>
      <c r="I26" s="89" t="s">
        <v>386</v>
      </c>
      <c r="J26" s="195" t="s">
        <v>326</v>
      </c>
      <c r="K26" s="196"/>
      <c r="L26" s="196"/>
      <c r="M26" s="196"/>
      <c r="N26" s="196"/>
      <c r="O26" s="196"/>
      <c r="P26" s="197"/>
    </row>
    <row r="27" spans="1:25" x14ac:dyDescent="0.2">
      <c r="B27" s="270">
        <f t="shared" si="0"/>
        <v>12</v>
      </c>
      <c r="C27" s="274" t="s">
        <v>350</v>
      </c>
      <c r="D27" s="275"/>
      <c r="E27" s="276">
        <f>PS!C11</f>
        <v>382.40249707815121</v>
      </c>
      <c r="F27" s="277"/>
      <c r="G27" s="277"/>
      <c r="H27" s="89" t="s">
        <v>347</v>
      </c>
      <c r="I27" s="89" t="s">
        <v>386</v>
      </c>
      <c r="J27" s="195" t="s">
        <v>349</v>
      </c>
      <c r="K27" s="196"/>
      <c r="L27" s="196"/>
      <c r="M27" s="196"/>
      <c r="N27" s="196"/>
      <c r="O27" s="196"/>
      <c r="P27" s="197"/>
    </row>
    <row r="28" spans="1:25" x14ac:dyDescent="0.2">
      <c r="B28" s="270">
        <f t="shared" si="0"/>
        <v>12</v>
      </c>
      <c r="C28" s="274" t="s">
        <v>209</v>
      </c>
      <c r="D28" s="275" t="s">
        <v>388</v>
      </c>
      <c r="E28" s="276">
        <f>E27*E29*24*365</f>
        <v>63817.528231594071</v>
      </c>
      <c r="F28" s="277"/>
      <c r="G28" s="277"/>
      <c r="H28" s="89" t="s">
        <v>358</v>
      </c>
      <c r="I28" s="89" t="s">
        <v>386</v>
      </c>
      <c r="J28" s="195" t="s">
        <v>389</v>
      </c>
      <c r="K28" s="196"/>
      <c r="L28" s="196"/>
      <c r="M28" s="196"/>
      <c r="N28" s="196"/>
      <c r="O28" s="196"/>
      <c r="P28" s="197"/>
    </row>
    <row r="29" spans="1:25" x14ac:dyDescent="0.2">
      <c r="B29" s="270">
        <f t="shared" si="0"/>
        <v>10</v>
      </c>
      <c r="C29" s="274" t="s">
        <v>351</v>
      </c>
      <c r="D29" s="275"/>
      <c r="E29" s="278">
        <f>Conversions!D6</f>
        <v>1.9050884913604238E-2</v>
      </c>
      <c r="F29" s="277"/>
      <c r="G29" s="277"/>
      <c r="H29" s="89" t="s">
        <v>352</v>
      </c>
      <c r="I29" s="89" t="s">
        <v>386</v>
      </c>
      <c r="J29" s="195" t="s">
        <v>353</v>
      </c>
      <c r="K29" s="196"/>
      <c r="L29" s="196"/>
      <c r="M29" s="196"/>
      <c r="N29" s="196"/>
      <c r="O29" s="196"/>
      <c r="P29" s="197"/>
    </row>
    <row r="30" spans="1:25" x14ac:dyDescent="0.2">
      <c r="B30" s="270">
        <f t="shared" si="0"/>
        <v>9</v>
      </c>
      <c r="C30" s="274" t="s">
        <v>343</v>
      </c>
      <c r="D30" s="275"/>
      <c r="E30" s="279">
        <f>PS!C12</f>
        <v>0.54508219767134158</v>
      </c>
      <c r="F30" s="277"/>
      <c r="G30" s="277"/>
      <c r="H30" s="89" t="s">
        <v>243</v>
      </c>
      <c r="I30" s="89" t="s">
        <v>386</v>
      </c>
      <c r="J30" s="195" t="s">
        <v>329</v>
      </c>
      <c r="K30" s="196"/>
      <c r="L30" s="196"/>
      <c r="M30" s="196"/>
      <c r="N30" s="196"/>
      <c r="O30" s="196"/>
      <c r="P30" s="197"/>
    </row>
    <row r="31" spans="1:25" x14ac:dyDescent="0.2">
      <c r="B31" s="270">
        <f t="shared" si="0"/>
        <v>9</v>
      </c>
      <c r="C31" s="274" t="s">
        <v>416</v>
      </c>
      <c r="D31" s="275" t="s">
        <v>348</v>
      </c>
      <c r="E31" s="276">
        <f>IF(E30&lt;0.5,0,1)</f>
        <v>1</v>
      </c>
      <c r="F31" s="277"/>
      <c r="G31" s="277"/>
      <c r="H31" s="89" t="s">
        <v>245</v>
      </c>
      <c r="I31" s="89" t="s">
        <v>386</v>
      </c>
      <c r="J31" s="195" t="s">
        <v>414</v>
      </c>
      <c r="K31" s="196"/>
      <c r="L31" s="196"/>
      <c r="M31" s="196"/>
      <c r="N31" s="196"/>
      <c r="O31" s="196"/>
      <c r="P31" s="197"/>
    </row>
    <row r="32" spans="1:25" x14ac:dyDescent="0.2">
      <c r="B32" s="270">
        <f t="shared" si="0"/>
        <v>7</v>
      </c>
      <c r="C32" s="274" t="s">
        <v>344</v>
      </c>
      <c r="D32" s="275" t="s">
        <v>417</v>
      </c>
      <c r="E32" s="276">
        <f>IF(E30&lt;1,0,1)</f>
        <v>0</v>
      </c>
      <c r="F32" s="277"/>
      <c r="G32" s="277"/>
      <c r="H32" s="89" t="s">
        <v>245</v>
      </c>
      <c r="I32" s="89" t="s">
        <v>386</v>
      </c>
      <c r="J32" s="195" t="s">
        <v>415</v>
      </c>
      <c r="K32" s="196"/>
      <c r="L32" s="196"/>
      <c r="M32" s="196"/>
      <c r="N32" s="196"/>
      <c r="O32" s="196"/>
      <c r="P32" s="197"/>
    </row>
    <row r="33" spans="1:25" x14ac:dyDescent="0.2">
      <c r="B33" s="270">
        <f t="shared" si="0"/>
        <v>14</v>
      </c>
      <c r="C33" s="274" t="s">
        <v>355</v>
      </c>
      <c r="D33" s="275"/>
      <c r="E33" s="276">
        <f>PS!C13</f>
        <v>1</v>
      </c>
      <c r="F33" s="277"/>
      <c r="G33" s="277"/>
      <c r="H33" s="89" t="s">
        <v>356</v>
      </c>
      <c r="I33" s="89"/>
      <c r="J33" s="195" t="s">
        <v>400</v>
      </c>
      <c r="K33" s="196"/>
      <c r="L33" s="196"/>
      <c r="M33" s="196"/>
      <c r="N33" s="196"/>
      <c r="O33" s="196"/>
      <c r="P33" s="197"/>
    </row>
    <row r="34" spans="1:25" x14ac:dyDescent="0.2">
      <c r="B34" s="270">
        <f>LEN(C34)</f>
        <v>9</v>
      </c>
      <c r="C34" s="274" t="s">
        <v>361</v>
      </c>
      <c r="D34" s="275" t="s">
        <v>422</v>
      </c>
      <c r="E34" s="276">
        <f>IF(E33=1, ((E23*0.00037*(E24^2)*E25*E26)+(E27*(E30-0.5)*E31*E23)), ((E23*0.00037*(E24^2)*E25*E26)+(E27*(E30-1)*E32*E23)))</f>
        <v>19620.836684522659</v>
      </c>
      <c r="F34" s="277"/>
      <c r="G34" s="277"/>
      <c r="H34" s="89" t="s">
        <v>354</v>
      </c>
      <c r="I34" s="89" t="s">
        <v>386</v>
      </c>
      <c r="J34" s="314" t="s">
        <v>359</v>
      </c>
      <c r="K34" s="326"/>
      <c r="L34" s="326"/>
      <c r="M34" s="326"/>
      <c r="N34" s="326"/>
      <c r="O34" s="326"/>
      <c r="P34" s="327"/>
    </row>
    <row r="35" spans="1:25" x14ac:dyDescent="0.2">
      <c r="B35" s="270">
        <f>LEN(C35)</f>
        <v>9</v>
      </c>
      <c r="C35" s="274" t="s">
        <v>360</v>
      </c>
      <c r="D35" s="275" t="s">
        <v>395</v>
      </c>
      <c r="E35" s="276">
        <f>E34*E29</f>
        <v>373.79430158546535</v>
      </c>
      <c r="F35" s="277"/>
      <c r="G35" s="277"/>
      <c r="H35" s="89" t="s">
        <v>358</v>
      </c>
      <c r="I35" s="89" t="s">
        <v>386</v>
      </c>
      <c r="J35" s="195" t="s">
        <v>397</v>
      </c>
      <c r="K35" s="196"/>
      <c r="L35" s="196"/>
      <c r="M35" s="196"/>
      <c r="N35" s="196"/>
      <c r="O35" s="196"/>
      <c r="P35" s="197"/>
    </row>
    <row r="36" spans="1:25" x14ac:dyDescent="0.2">
      <c r="B36" s="270">
        <f t="shared" si="0"/>
        <v>12</v>
      </c>
      <c r="C36" s="274" t="s">
        <v>217</v>
      </c>
      <c r="D36" s="275" t="s">
        <v>390</v>
      </c>
      <c r="E36" s="278">
        <f>E35/E28</f>
        <v>5.8572356520760925E-3</v>
      </c>
      <c r="F36" s="277"/>
      <c r="G36" s="277"/>
      <c r="H36" s="89" t="s">
        <v>213</v>
      </c>
      <c r="I36" s="89" t="s">
        <v>386</v>
      </c>
      <c r="J36" s="195" t="s">
        <v>396</v>
      </c>
      <c r="K36" s="196"/>
      <c r="L36" s="196"/>
      <c r="M36" s="196"/>
      <c r="N36" s="196"/>
      <c r="O36" s="196"/>
      <c r="P36" s="197"/>
    </row>
    <row r="37" spans="1:25" x14ac:dyDescent="0.2">
      <c r="B37" s="270">
        <f t="shared" si="0"/>
        <v>5</v>
      </c>
      <c r="C37" s="274" t="s">
        <v>363</v>
      </c>
      <c r="D37" s="275" t="s">
        <v>391</v>
      </c>
      <c r="E37" s="280">
        <f>1+E36</f>
        <v>1.0058572356520761</v>
      </c>
      <c r="F37" s="277"/>
      <c r="G37" s="277"/>
      <c r="H37" s="89" t="s">
        <v>3</v>
      </c>
      <c r="I37" s="89" t="s">
        <v>386</v>
      </c>
      <c r="J37" s="195" t="s">
        <v>365</v>
      </c>
      <c r="K37" s="196"/>
      <c r="L37" s="196"/>
      <c r="M37" s="196"/>
      <c r="N37" s="196"/>
      <c r="O37" s="196"/>
      <c r="P37" s="197"/>
    </row>
    <row r="38" spans="1:25" x14ac:dyDescent="0.2">
      <c r="B38" s="265"/>
      <c r="C38" s="281" t="s">
        <v>94</v>
      </c>
      <c r="D38" s="59" t="s">
        <v>105</v>
      </c>
      <c r="E38" s="282"/>
      <c r="F38" s="282"/>
      <c r="G38" s="282"/>
      <c r="H38" s="54"/>
      <c r="I38" s="142"/>
      <c r="J38" s="55"/>
      <c r="K38" s="55"/>
      <c r="L38" s="55"/>
      <c r="M38" s="55"/>
      <c r="N38" s="55"/>
      <c r="O38" s="55"/>
      <c r="P38" s="56"/>
    </row>
    <row r="39" spans="1:25" ht="13.5" thickBot="1" x14ac:dyDescent="0.25">
      <c r="B39" s="265"/>
      <c r="C39" s="263"/>
      <c r="D39" s="263"/>
      <c r="E39" s="263"/>
      <c r="F39" s="263"/>
      <c r="G39" s="263"/>
      <c r="H39" s="263"/>
      <c r="J39" s="263"/>
      <c r="K39" s="263"/>
      <c r="L39" s="263"/>
      <c r="M39" s="263"/>
      <c r="N39" s="263"/>
      <c r="O39" s="263"/>
      <c r="P39" s="263"/>
    </row>
    <row r="40" spans="1:25" s="273" customFormat="1" ht="13.5" thickBot="1" x14ac:dyDescent="0.25">
      <c r="A40" s="272"/>
      <c r="B40" s="316" t="s">
        <v>95</v>
      </c>
      <c r="C40" s="317"/>
      <c r="D40" s="317"/>
      <c r="E40" s="317"/>
      <c r="F40" s="317"/>
      <c r="G40" s="317"/>
      <c r="H40" s="317"/>
      <c r="I40" s="317"/>
      <c r="J40" s="317"/>
      <c r="K40" s="317"/>
      <c r="L40" s="317"/>
      <c r="M40" s="317"/>
      <c r="N40" s="317"/>
      <c r="O40" s="317"/>
      <c r="P40" s="318"/>
      <c r="Q40" s="272"/>
      <c r="R40" s="272"/>
      <c r="S40" s="272"/>
      <c r="T40" s="272"/>
      <c r="U40" s="272"/>
      <c r="V40" s="272"/>
      <c r="W40" s="272"/>
      <c r="X40" s="272"/>
      <c r="Y40" s="272"/>
    </row>
    <row r="41" spans="1:25" x14ac:dyDescent="0.2">
      <c r="B41" s="265"/>
      <c r="C41" s="263"/>
      <c r="D41" s="263"/>
      <c r="E41" s="263"/>
      <c r="F41" s="263"/>
      <c r="G41" s="263"/>
      <c r="H41" s="52" t="s">
        <v>96</v>
      </c>
      <c r="J41" s="263"/>
      <c r="K41" s="263"/>
      <c r="L41" s="263"/>
      <c r="M41" s="263"/>
      <c r="N41" s="263"/>
      <c r="O41" s="263"/>
      <c r="P41" s="263"/>
    </row>
    <row r="42" spans="1:25" x14ac:dyDescent="0.2">
      <c r="B42" s="265"/>
      <c r="C42" s="53" t="s">
        <v>97</v>
      </c>
      <c r="D42" s="53" t="s">
        <v>98</v>
      </c>
      <c r="E42" s="53" t="s">
        <v>91</v>
      </c>
      <c r="F42" s="53" t="s">
        <v>92</v>
      </c>
      <c r="G42" s="53" t="s">
        <v>97</v>
      </c>
      <c r="H42" s="53" t="s">
        <v>99</v>
      </c>
      <c r="I42" s="53" t="s">
        <v>100</v>
      </c>
      <c r="J42" s="53" t="s">
        <v>101</v>
      </c>
      <c r="K42" s="53" t="s">
        <v>207</v>
      </c>
      <c r="L42" s="53" t="s">
        <v>208</v>
      </c>
      <c r="M42" s="53" t="s">
        <v>102</v>
      </c>
      <c r="N42" s="53" t="s">
        <v>103</v>
      </c>
      <c r="O42" s="53" t="s">
        <v>2</v>
      </c>
      <c r="P42" s="53" t="s">
        <v>93</v>
      </c>
    </row>
    <row r="43" spans="1:25" x14ac:dyDescent="0.2">
      <c r="B43" s="265"/>
      <c r="C43" s="145" t="str">
        <f>C37</f>
        <v>NG_in</v>
      </c>
      <c r="D43" s="146" t="s">
        <v>219</v>
      </c>
      <c r="E43" s="243">
        <v>1</v>
      </c>
      <c r="F43" s="146" t="s">
        <v>3</v>
      </c>
      <c r="G43" s="122">
        <f>IF($C43="",1,VLOOKUP($C43,$C$23:$H$37,3,FALSE))</f>
        <v>1.0058572356520761</v>
      </c>
      <c r="H43" s="123" t="str">
        <f>IF($C43="","",VLOOKUP($C43,$C$22:$H$37,6,FALSE))</f>
        <v>kg</v>
      </c>
      <c r="I43" s="154">
        <f>IF(D43="","",E43*G43*$D$5)</f>
        <v>1.0058572356520761</v>
      </c>
      <c r="J43" s="146" t="s">
        <v>3</v>
      </c>
      <c r="K43" s="146"/>
      <c r="L43" s="146"/>
      <c r="M43" s="57" t="s">
        <v>104</v>
      </c>
      <c r="N43" s="146"/>
      <c r="O43" s="146"/>
      <c r="P43" s="146"/>
    </row>
    <row r="44" spans="1:25" x14ac:dyDescent="0.2">
      <c r="B44" s="265"/>
      <c r="C44" s="145"/>
      <c r="D44" s="146"/>
      <c r="E44" s="147"/>
      <c r="F44" s="146"/>
      <c r="G44" s="148"/>
      <c r="H44" s="149"/>
      <c r="I44" s="150"/>
      <c r="J44" s="146"/>
      <c r="K44" s="146"/>
      <c r="L44" s="146"/>
      <c r="M44" s="151"/>
      <c r="N44" s="146"/>
      <c r="O44" s="146"/>
      <c r="P44" s="146"/>
    </row>
    <row r="45" spans="1:25" x14ac:dyDescent="0.2">
      <c r="B45" s="265"/>
      <c r="C45" s="58" t="s">
        <v>94</v>
      </c>
      <c r="D45" s="59" t="s">
        <v>105</v>
      </c>
      <c r="E45" s="60" t="s">
        <v>106</v>
      </c>
      <c r="F45" s="59"/>
      <c r="G45" s="59"/>
      <c r="H45" s="59"/>
      <c r="I45" s="60" t="s">
        <v>107</v>
      </c>
      <c r="J45" s="59"/>
      <c r="K45" s="59"/>
      <c r="L45" s="59"/>
      <c r="M45" s="60"/>
      <c r="N45" s="59" t="s">
        <v>35</v>
      </c>
      <c r="O45" s="59"/>
      <c r="P45" s="59"/>
    </row>
    <row r="46" spans="1:25" s="263" customFormat="1" ht="13.5" thickBot="1" x14ac:dyDescent="0.25">
      <c r="B46" s="265"/>
    </row>
    <row r="47" spans="1:25" s="273" customFormat="1" ht="13.5" thickBot="1" x14ac:dyDescent="0.25">
      <c r="A47" s="272"/>
      <c r="B47" s="316" t="s">
        <v>108</v>
      </c>
      <c r="C47" s="317"/>
      <c r="D47" s="317"/>
      <c r="E47" s="317"/>
      <c r="F47" s="317"/>
      <c r="G47" s="317"/>
      <c r="H47" s="317"/>
      <c r="I47" s="317"/>
      <c r="J47" s="317"/>
      <c r="K47" s="317"/>
      <c r="L47" s="317"/>
      <c r="M47" s="317"/>
      <c r="N47" s="317"/>
      <c r="O47" s="317"/>
      <c r="P47" s="318"/>
      <c r="Q47" s="272"/>
      <c r="R47" s="272"/>
      <c r="S47" s="272"/>
      <c r="T47" s="272"/>
      <c r="U47" s="272"/>
      <c r="V47" s="272"/>
      <c r="W47" s="272"/>
      <c r="X47" s="272"/>
      <c r="Y47" s="272"/>
    </row>
    <row r="48" spans="1:25" x14ac:dyDescent="0.2">
      <c r="B48" s="265"/>
      <c r="C48" s="263"/>
      <c r="D48" s="263"/>
      <c r="E48" s="263"/>
      <c r="F48" s="263"/>
      <c r="G48" s="263"/>
      <c r="H48" s="52" t="s">
        <v>109</v>
      </c>
      <c r="J48" s="263"/>
      <c r="K48" s="263"/>
      <c r="L48" s="263"/>
      <c r="M48" s="263"/>
      <c r="N48" s="263"/>
      <c r="O48" s="263"/>
      <c r="P48" s="263"/>
    </row>
    <row r="49" spans="2:16" x14ac:dyDescent="0.2">
      <c r="B49" s="265"/>
      <c r="C49" s="53" t="s">
        <v>97</v>
      </c>
      <c r="D49" s="53" t="s">
        <v>98</v>
      </c>
      <c r="E49" s="53" t="s">
        <v>91</v>
      </c>
      <c r="F49" s="53" t="s">
        <v>92</v>
      </c>
      <c r="G49" s="53" t="s">
        <v>97</v>
      </c>
      <c r="H49" s="53" t="s">
        <v>99</v>
      </c>
      <c r="I49" s="53" t="s">
        <v>100</v>
      </c>
      <c r="J49" s="53" t="s">
        <v>101</v>
      </c>
      <c r="K49" s="53"/>
      <c r="L49" s="53"/>
      <c r="M49" s="53" t="s">
        <v>102</v>
      </c>
      <c r="N49" s="53" t="s">
        <v>103</v>
      </c>
      <c r="O49" s="53" t="s">
        <v>2</v>
      </c>
      <c r="P49" s="53" t="s">
        <v>93</v>
      </c>
    </row>
    <row r="50" spans="2:16" x14ac:dyDescent="0.2">
      <c r="B50" s="265"/>
      <c r="C50" s="87"/>
      <c r="D50" s="283" t="str">
        <f>G5</f>
        <v>Natural Gas output</v>
      </c>
      <c r="E50" s="97">
        <v>1</v>
      </c>
      <c r="F50" s="97" t="s">
        <v>3</v>
      </c>
      <c r="G50" s="122">
        <f>IF($C50="",1,VLOOKUP($C50,$C$22:$H$22,3,FALSE))</f>
        <v>1</v>
      </c>
      <c r="H50" s="123" t="str">
        <f>IF($C50="","",VLOOKUP($C50,$C$22:$H$37,6,FALSE))</f>
        <v/>
      </c>
      <c r="I50" s="124">
        <f>IF(D50="","",E50*G50*$D$5)</f>
        <v>1</v>
      </c>
      <c r="J50" s="97" t="s">
        <v>3</v>
      </c>
      <c r="K50" s="97"/>
      <c r="L50" s="97"/>
      <c r="M50" s="57" t="s">
        <v>104</v>
      </c>
      <c r="N50" s="88"/>
      <c r="O50" s="284"/>
      <c r="P50" s="285" t="s">
        <v>111</v>
      </c>
    </row>
    <row r="51" spans="2:16" x14ac:dyDescent="0.2">
      <c r="B51" s="265"/>
      <c r="C51" s="87" t="str">
        <f>C36</f>
        <v>Vent_product</v>
      </c>
      <c r="D51" s="283" t="s">
        <v>428</v>
      </c>
      <c r="E51" s="97">
        <v>1</v>
      </c>
      <c r="F51" s="97" t="s">
        <v>3</v>
      </c>
      <c r="G51" s="122">
        <f>IF($C51="",1,VLOOKUP($C51,$C$22:$H$37,3,FALSE))</f>
        <v>5.8572356520760925E-3</v>
      </c>
      <c r="H51" s="123" t="str">
        <f>IF($C51="","",VLOOKUP($C51,$C$22:$H$37,6,FALSE))</f>
        <v>kg/kg</v>
      </c>
      <c r="I51" s="154">
        <f>IF(D51="","",E51*G51*$D$5)</f>
        <v>5.8572356520760925E-3</v>
      </c>
      <c r="J51" s="97" t="s">
        <v>3</v>
      </c>
      <c r="K51" s="97"/>
      <c r="L51" s="97"/>
      <c r="M51" s="57" t="s">
        <v>104</v>
      </c>
      <c r="N51" s="88" t="s">
        <v>110</v>
      </c>
      <c r="O51" s="284"/>
      <c r="P51" s="285" t="s">
        <v>398</v>
      </c>
    </row>
    <row r="52" spans="2:16" x14ac:dyDescent="0.2">
      <c r="B52" s="265"/>
      <c r="C52" s="87"/>
      <c r="D52" s="283"/>
      <c r="E52" s="97"/>
      <c r="F52" s="253"/>
      <c r="G52" s="122">
        <f>IF($C52="",1,VLOOKUP($C52,$C$22:$H$37,3,FALSE))</f>
        <v>1</v>
      </c>
      <c r="H52" s="123" t="str">
        <f>IF($C52="","",VLOOKUP($C52,$C$22:$H$22,4,FALSE))</f>
        <v/>
      </c>
      <c r="I52" s="124" t="str">
        <f>IF(D52="","",E52*G52*$D$5)</f>
        <v/>
      </c>
      <c r="J52" s="97"/>
      <c r="K52" s="97"/>
      <c r="L52" s="97"/>
      <c r="M52" s="57"/>
      <c r="N52" s="88"/>
      <c r="O52" s="284"/>
      <c r="P52" s="285"/>
    </row>
    <row r="53" spans="2:16" x14ac:dyDescent="0.2">
      <c r="B53" s="265"/>
      <c r="C53" s="58" t="s">
        <v>94</v>
      </c>
      <c r="D53" s="61" t="s">
        <v>105</v>
      </c>
      <c r="E53" s="60" t="s">
        <v>106</v>
      </c>
      <c r="F53" s="59"/>
      <c r="G53" s="98"/>
      <c r="H53" s="62"/>
      <c r="I53" s="62"/>
      <c r="J53" s="59"/>
      <c r="K53" s="59"/>
      <c r="L53" s="59"/>
      <c r="M53" s="60"/>
      <c r="N53" s="59" t="s">
        <v>35</v>
      </c>
      <c r="O53" s="59"/>
      <c r="P53" s="59"/>
    </row>
    <row r="54" spans="2:16" x14ac:dyDescent="0.2">
      <c r="B54" s="265"/>
      <c r="C54" s="263"/>
      <c r="D54" s="263"/>
      <c r="E54" s="263"/>
      <c r="F54" s="263"/>
      <c r="G54" s="263"/>
      <c r="H54" s="263"/>
      <c r="J54" s="263"/>
      <c r="K54" s="263"/>
      <c r="L54" s="263"/>
      <c r="M54" s="263"/>
      <c r="N54" s="263"/>
      <c r="O54" s="263"/>
      <c r="P54" s="263"/>
    </row>
    <row r="55" spans="2:16" x14ac:dyDescent="0.2">
      <c r="B55" s="265"/>
      <c r="C55" s="263"/>
      <c r="D55" s="263"/>
      <c r="E55" s="263"/>
      <c r="F55" s="263"/>
      <c r="G55" s="263"/>
      <c r="H55" s="263"/>
      <c r="J55" s="263"/>
      <c r="K55" s="263"/>
      <c r="L55" s="263"/>
      <c r="M55" s="263"/>
      <c r="N55" s="263"/>
      <c r="O55" s="263"/>
      <c r="P55" s="263"/>
    </row>
    <row r="56" spans="2:16" x14ac:dyDescent="0.2">
      <c r="B56" s="265"/>
      <c r="C56" s="263"/>
      <c r="D56" s="263"/>
      <c r="E56" s="263"/>
      <c r="F56" s="263"/>
      <c r="G56" s="263"/>
      <c r="H56" s="263"/>
      <c r="J56" s="263"/>
      <c r="K56" s="263"/>
      <c r="L56" s="263"/>
      <c r="M56" s="263"/>
      <c r="N56" s="263"/>
      <c r="O56" s="263"/>
      <c r="P56" s="263"/>
    </row>
    <row r="57" spans="2:16" x14ac:dyDescent="0.2">
      <c r="B57" s="265"/>
      <c r="C57" s="263"/>
      <c r="D57" s="263"/>
      <c r="E57" s="263"/>
      <c r="F57" s="263"/>
      <c r="G57" s="263"/>
      <c r="H57" s="263"/>
      <c r="J57" s="263"/>
      <c r="K57" s="263"/>
      <c r="L57" s="263"/>
      <c r="M57" s="263"/>
      <c r="N57" s="263"/>
      <c r="O57" s="263"/>
      <c r="P57" s="263"/>
    </row>
    <row r="58" spans="2:16" x14ac:dyDescent="0.2">
      <c r="B58" s="265"/>
      <c r="C58" s="263"/>
      <c r="D58" s="263"/>
      <c r="E58" s="263"/>
      <c r="F58" s="263"/>
      <c r="G58" s="263"/>
      <c r="H58" s="263"/>
      <c r="J58" s="263"/>
      <c r="K58" s="263"/>
      <c r="L58" s="263"/>
      <c r="M58" s="263"/>
      <c r="N58" s="263"/>
      <c r="O58" s="263"/>
      <c r="P58" s="263"/>
    </row>
    <row r="59" spans="2:16" x14ac:dyDescent="0.2">
      <c r="B59" s="265"/>
      <c r="C59" s="263"/>
      <c r="D59" s="263"/>
      <c r="E59" s="263"/>
      <c r="F59" s="263"/>
      <c r="G59" s="263"/>
      <c r="H59" s="263"/>
      <c r="J59" s="263"/>
      <c r="K59" s="263"/>
      <c r="L59" s="263"/>
      <c r="M59" s="263"/>
      <c r="N59" s="263"/>
      <c r="O59" s="263"/>
      <c r="P59" s="263"/>
    </row>
    <row r="60" spans="2:16" x14ac:dyDescent="0.2">
      <c r="B60" s="265"/>
      <c r="C60" s="263"/>
      <c r="D60" s="263"/>
      <c r="E60" s="263"/>
      <c r="F60" s="263"/>
      <c r="G60" s="263"/>
      <c r="H60" s="263"/>
      <c r="J60" s="263"/>
      <c r="K60" s="263"/>
      <c r="L60" s="263"/>
      <c r="M60" s="263"/>
      <c r="N60" s="263"/>
      <c r="O60" s="263"/>
      <c r="P60" s="263"/>
    </row>
    <row r="61" spans="2:16" x14ac:dyDescent="0.2">
      <c r="B61" s="265"/>
      <c r="C61" s="263"/>
      <c r="D61" s="263"/>
      <c r="E61" s="263"/>
      <c r="F61" s="263"/>
      <c r="G61" s="263"/>
      <c r="H61" s="263"/>
      <c r="J61" s="263"/>
      <c r="K61" s="263"/>
      <c r="L61" s="263"/>
      <c r="M61" s="263"/>
      <c r="N61" s="263"/>
      <c r="O61" s="263"/>
      <c r="P61" s="263"/>
    </row>
    <row r="62" spans="2:16" x14ac:dyDescent="0.2">
      <c r="B62" s="265"/>
      <c r="C62" s="263"/>
      <c r="D62" s="263"/>
      <c r="E62" s="263"/>
      <c r="F62" s="263"/>
      <c r="G62" s="263"/>
      <c r="H62" s="263"/>
      <c r="J62" s="263"/>
      <c r="K62" s="263"/>
      <c r="L62" s="263"/>
      <c r="M62" s="263"/>
      <c r="N62" s="263"/>
      <c r="O62" s="263"/>
      <c r="P62" s="263"/>
    </row>
    <row r="63" spans="2:16" x14ac:dyDescent="0.2">
      <c r="B63" s="265"/>
      <c r="C63" s="263"/>
      <c r="D63" s="263"/>
      <c r="E63" s="263"/>
      <c r="F63" s="263"/>
      <c r="G63" s="263"/>
      <c r="H63" s="263"/>
      <c r="J63" s="263"/>
      <c r="K63" s="263"/>
      <c r="L63" s="263"/>
      <c r="M63" s="263"/>
      <c r="N63" s="263"/>
      <c r="O63" s="263"/>
      <c r="P63" s="263"/>
    </row>
    <row r="64" spans="2:16" x14ac:dyDescent="0.2">
      <c r="B64" s="265"/>
      <c r="C64" s="263"/>
      <c r="D64" s="263"/>
      <c r="E64" s="263"/>
      <c r="F64" s="263"/>
      <c r="G64" s="263"/>
      <c r="H64" s="263"/>
      <c r="J64" s="263"/>
      <c r="K64" s="263"/>
      <c r="L64" s="263"/>
      <c r="M64" s="263"/>
      <c r="N64" s="263"/>
      <c r="O64" s="263"/>
      <c r="P64" s="263"/>
    </row>
    <row r="65" spans="2:16" x14ac:dyDescent="0.2">
      <c r="B65" s="265"/>
      <c r="C65" s="263"/>
      <c r="D65" s="263"/>
      <c r="E65" s="263"/>
      <c r="F65" s="263"/>
      <c r="G65" s="263"/>
      <c r="H65" s="263"/>
      <c r="J65" s="263"/>
      <c r="K65" s="263"/>
      <c r="L65" s="263"/>
      <c r="M65" s="263"/>
      <c r="N65" s="263"/>
      <c r="O65" s="263"/>
      <c r="P65" s="263"/>
    </row>
    <row r="66" spans="2:16" x14ac:dyDescent="0.2">
      <c r="B66" s="265"/>
      <c r="C66" s="263"/>
      <c r="D66" s="263"/>
      <c r="E66" s="263"/>
      <c r="F66" s="263"/>
      <c r="G66" s="263"/>
      <c r="H66" s="263"/>
      <c r="J66" s="263"/>
      <c r="K66" s="263"/>
      <c r="L66" s="263"/>
      <c r="M66" s="263"/>
      <c r="N66" s="263"/>
      <c r="O66" s="263"/>
      <c r="P66" s="263"/>
    </row>
    <row r="67" spans="2:16" x14ac:dyDescent="0.2">
      <c r="B67" s="265"/>
      <c r="C67" s="263"/>
      <c r="D67" s="263"/>
      <c r="E67" s="263"/>
      <c r="F67" s="263"/>
      <c r="G67" s="263"/>
      <c r="H67" s="263"/>
      <c r="J67" s="263"/>
      <c r="K67" s="263"/>
      <c r="L67" s="263"/>
      <c r="M67" s="263"/>
      <c r="N67" s="263"/>
      <c r="O67" s="263"/>
      <c r="P67" s="263"/>
    </row>
    <row r="68" spans="2:16" x14ac:dyDescent="0.2">
      <c r="B68" s="265"/>
      <c r="C68" s="263"/>
      <c r="D68" s="263"/>
      <c r="E68" s="263"/>
      <c r="F68" s="263"/>
      <c r="G68" s="263"/>
      <c r="H68" s="263"/>
      <c r="J68" s="263"/>
      <c r="K68" s="263"/>
      <c r="L68" s="263"/>
      <c r="M68" s="263"/>
      <c r="N68" s="263"/>
      <c r="O68" s="263"/>
      <c r="P68" s="263"/>
    </row>
    <row r="69" spans="2:16" x14ac:dyDescent="0.2">
      <c r="B69" s="265"/>
      <c r="C69" s="263"/>
      <c r="D69" s="263"/>
      <c r="E69" s="263"/>
      <c r="F69" s="263"/>
      <c r="G69" s="263"/>
      <c r="H69" s="263"/>
      <c r="J69" s="263"/>
      <c r="K69" s="263"/>
      <c r="L69" s="263"/>
      <c r="M69" s="263"/>
      <c r="N69" s="263"/>
      <c r="O69" s="263"/>
      <c r="P69" s="263"/>
    </row>
    <row r="70" spans="2:16" x14ac:dyDescent="0.2">
      <c r="B70" s="265"/>
      <c r="C70" s="263"/>
      <c r="D70" s="263"/>
      <c r="E70" s="263"/>
      <c r="F70" s="263"/>
      <c r="G70" s="263"/>
      <c r="H70" s="263"/>
      <c r="J70" s="263"/>
      <c r="K70" s="263"/>
      <c r="L70" s="263"/>
      <c r="M70" s="263"/>
      <c r="N70" s="263"/>
      <c r="O70" s="263"/>
      <c r="P70" s="263"/>
    </row>
    <row r="71" spans="2:16" x14ac:dyDescent="0.2">
      <c r="B71" s="265"/>
      <c r="C71" s="263"/>
      <c r="D71" s="263"/>
      <c r="E71" s="263"/>
      <c r="F71" s="263"/>
      <c r="G71" s="263"/>
      <c r="H71" s="263"/>
      <c r="J71" s="263"/>
      <c r="K71" s="263"/>
      <c r="L71" s="263"/>
      <c r="M71" s="263"/>
      <c r="N71" s="263"/>
      <c r="O71" s="263"/>
      <c r="P71" s="263"/>
    </row>
    <row r="72" spans="2:16" x14ac:dyDescent="0.2">
      <c r="B72" s="265"/>
      <c r="C72" s="263"/>
      <c r="D72" s="263"/>
      <c r="E72" s="263"/>
      <c r="F72" s="263"/>
      <c r="G72" s="263"/>
      <c r="H72" s="263"/>
      <c r="J72" s="263"/>
      <c r="K72" s="263"/>
      <c r="L72" s="263"/>
      <c r="M72" s="263"/>
      <c r="N72" s="263"/>
      <c r="O72" s="263"/>
      <c r="P72" s="263"/>
    </row>
    <row r="73" spans="2:16" x14ac:dyDescent="0.2">
      <c r="B73" s="265"/>
      <c r="C73" s="263"/>
      <c r="D73" s="263"/>
      <c r="E73" s="263"/>
      <c r="F73" s="263"/>
      <c r="G73" s="263"/>
      <c r="H73" s="263"/>
      <c r="J73" s="263"/>
      <c r="K73" s="263"/>
      <c r="L73" s="263"/>
      <c r="M73" s="263"/>
      <c r="N73" s="263"/>
      <c r="O73" s="263"/>
      <c r="P73" s="263"/>
    </row>
    <row r="74" spans="2:16" x14ac:dyDescent="0.2">
      <c r="B74" s="265"/>
      <c r="C74" s="263"/>
      <c r="D74" s="263"/>
      <c r="E74" s="263"/>
      <c r="F74" s="263"/>
      <c r="G74" s="263"/>
      <c r="H74" s="263"/>
      <c r="J74" s="263"/>
      <c r="K74" s="263"/>
      <c r="L74" s="263"/>
      <c r="M74" s="263"/>
      <c r="N74" s="263"/>
      <c r="O74" s="263"/>
      <c r="P74" s="263"/>
    </row>
    <row r="75" spans="2:16" x14ac:dyDescent="0.2">
      <c r="B75" s="265"/>
      <c r="C75" s="263"/>
      <c r="D75" s="263"/>
      <c r="E75" s="263"/>
      <c r="F75" s="263"/>
      <c r="G75" s="263"/>
      <c r="H75" s="263"/>
      <c r="J75" s="263"/>
      <c r="K75" s="263"/>
      <c r="L75" s="263"/>
      <c r="M75" s="263"/>
      <c r="N75" s="263"/>
      <c r="O75" s="263"/>
      <c r="P75" s="263"/>
    </row>
    <row r="76" spans="2:16" x14ac:dyDescent="0.2">
      <c r="B76" s="265"/>
      <c r="C76" s="263"/>
      <c r="D76" s="263"/>
      <c r="E76" s="263"/>
      <c r="F76" s="263"/>
      <c r="G76" s="263"/>
      <c r="H76" s="263"/>
      <c r="J76" s="263"/>
      <c r="K76" s="263"/>
      <c r="L76" s="263"/>
      <c r="M76" s="263"/>
      <c r="N76" s="263"/>
      <c r="O76" s="263"/>
      <c r="P76" s="263"/>
    </row>
    <row r="77" spans="2:16" x14ac:dyDescent="0.2">
      <c r="B77" s="265"/>
      <c r="C77" s="263"/>
      <c r="D77" s="263"/>
      <c r="E77" s="263"/>
      <c r="F77" s="263"/>
      <c r="G77" s="263"/>
      <c r="H77" s="263"/>
      <c r="J77" s="263"/>
      <c r="K77" s="263"/>
      <c r="L77" s="263"/>
      <c r="M77" s="263"/>
      <c r="N77" s="263"/>
      <c r="O77" s="263"/>
      <c r="P77" s="263"/>
    </row>
    <row r="78" spans="2:16" x14ac:dyDescent="0.2">
      <c r="B78" s="265"/>
      <c r="C78" s="263"/>
      <c r="D78" s="263"/>
      <c r="E78" s="263"/>
      <c r="F78" s="263"/>
      <c r="G78" s="263"/>
      <c r="H78" s="263"/>
      <c r="J78" s="263"/>
      <c r="K78" s="263"/>
      <c r="L78" s="263"/>
      <c r="M78" s="263"/>
      <c r="N78" s="263"/>
      <c r="O78" s="263"/>
      <c r="P78" s="263"/>
    </row>
    <row r="79" spans="2:16" x14ac:dyDescent="0.2">
      <c r="B79" s="265"/>
      <c r="C79" s="263"/>
      <c r="D79" s="263"/>
      <c r="E79" s="263"/>
      <c r="F79" s="263"/>
      <c r="G79" s="263"/>
      <c r="H79" s="263"/>
      <c r="J79" s="263"/>
      <c r="K79" s="263"/>
      <c r="L79" s="263"/>
      <c r="M79" s="263"/>
      <c r="N79" s="263"/>
      <c r="O79" s="263"/>
      <c r="P79" s="263"/>
    </row>
    <row r="80" spans="2:16" x14ac:dyDescent="0.2">
      <c r="B80" s="265"/>
      <c r="C80" s="263"/>
      <c r="D80" s="263"/>
      <c r="E80" s="263"/>
      <c r="F80" s="263"/>
      <c r="G80" s="263"/>
      <c r="H80" s="263"/>
      <c r="J80" s="263"/>
      <c r="K80" s="263"/>
      <c r="L80" s="263"/>
      <c r="M80" s="263"/>
      <c r="N80" s="263"/>
      <c r="O80" s="263"/>
      <c r="P80" s="263"/>
    </row>
    <row r="81" spans="2:16" x14ac:dyDescent="0.2">
      <c r="B81" s="265"/>
      <c r="C81" s="263"/>
      <c r="D81" s="263"/>
      <c r="E81" s="263"/>
      <c r="F81" s="263"/>
      <c r="G81" s="263"/>
      <c r="H81" s="263"/>
      <c r="J81" s="263"/>
      <c r="K81" s="263"/>
      <c r="L81" s="263"/>
      <c r="M81" s="263"/>
      <c r="N81" s="263"/>
      <c r="O81" s="263"/>
      <c r="P81" s="263"/>
    </row>
    <row r="82" spans="2:16" x14ac:dyDescent="0.2">
      <c r="B82" s="265"/>
      <c r="C82" s="263"/>
      <c r="D82" s="263"/>
      <c r="E82" s="263"/>
      <c r="F82" s="263"/>
      <c r="G82" s="263"/>
      <c r="H82" s="263"/>
      <c r="J82" s="263"/>
      <c r="K82" s="263"/>
      <c r="L82" s="263"/>
      <c r="M82" s="263"/>
      <c r="N82" s="263"/>
      <c r="O82" s="263"/>
      <c r="P82" s="263"/>
    </row>
    <row r="83" spans="2:16" x14ac:dyDescent="0.2">
      <c r="B83" s="265"/>
      <c r="C83" s="263"/>
      <c r="D83" s="263"/>
      <c r="E83" s="263"/>
      <c r="F83" s="263"/>
      <c r="G83" s="263"/>
      <c r="H83" s="263"/>
      <c r="J83" s="263"/>
      <c r="K83" s="263"/>
      <c r="L83" s="263"/>
      <c r="M83" s="263"/>
      <c r="N83" s="263"/>
      <c r="O83" s="263"/>
      <c r="P83" s="263"/>
    </row>
    <row r="84" spans="2:16" x14ac:dyDescent="0.2">
      <c r="B84" s="265"/>
      <c r="C84" s="263"/>
      <c r="D84" s="263"/>
      <c r="E84" s="263"/>
      <c r="F84" s="263"/>
      <c r="G84" s="263"/>
      <c r="H84" s="263"/>
      <c r="J84" s="263"/>
      <c r="K84" s="263"/>
      <c r="L84" s="263"/>
      <c r="M84" s="263"/>
      <c r="N84" s="263"/>
      <c r="O84" s="263"/>
      <c r="P84" s="263"/>
    </row>
    <row r="85" spans="2:16" x14ac:dyDescent="0.2">
      <c r="B85" s="265"/>
      <c r="C85" s="263"/>
      <c r="D85" s="263"/>
      <c r="E85" s="263"/>
      <c r="F85" s="263"/>
      <c r="G85" s="263"/>
      <c r="H85" s="263"/>
      <c r="J85" s="263"/>
      <c r="K85" s="263"/>
      <c r="L85" s="263"/>
      <c r="M85" s="263"/>
      <c r="N85" s="263"/>
      <c r="O85" s="263"/>
      <c r="P85" s="263"/>
    </row>
    <row r="86" spans="2:16" x14ac:dyDescent="0.2">
      <c r="B86" s="265"/>
      <c r="C86" s="263"/>
      <c r="D86" s="263"/>
      <c r="E86" s="263"/>
      <c r="F86" s="263"/>
      <c r="G86" s="263"/>
      <c r="H86" s="263"/>
      <c r="J86" s="263"/>
      <c r="K86" s="263"/>
      <c r="L86" s="263"/>
      <c r="M86" s="263"/>
      <c r="N86" s="263"/>
      <c r="O86" s="263"/>
      <c r="P86" s="263"/>
    </row>
    <row r="87" spans="2:16" x14ac:dyDescent="0.2">
      <c r="B87" s="265"/>
      <c r="C87" s="263"/>
      <c r="D87" s="263"/>
      <c r="E87" s="263"/>
      <c r="F87" s="263"/>
      <c r="G87" s="263"/>
      <c r="H87" s="263"/>
      <c r="J87" s="263"/>
      <c r="K87" s="263"/>
      <c r="L87" s="263"/>
      <c r="M87" s="263"/>
      <c r="N87" s="263"/>
      <c r="O87" s="263"/>
      <c r="P87" s="263"/>
    </row>
    <row r="88" spans="2:16" x14ac:dyDescent="0.2">
      <c r="B88" s="265"/>
      <c r="C88" s="263"/>
      <c r="D88" s="263"/>
      <c r="E88" s="263"/>
      <c r="F88" s="263"/>
      <c r="G88" s="263"/>
      <c r="H88" s="263"/>
      <c r="J88" s="263"/>
      <c r="K88" s="263"/>
      <c r="L88" s="263"/>
      <c r="M88" s="263"/>
      <c r="N88" s="263"/>
      <c r="O88" s="263"/>
      <c r="P88" s="263"/>
    </row>
    <row r="89" spans="2:16" x14ac:dyDescent="0.2">
      <c r="B89" s="265"/>
      <c r="C89" s="263"/>
      <c r="D89" s="263"/>
      <c r="E89" s="263"/>
      <c r="F89" s="263"/>
      <c r="G89" s="263"/>
      <c r="H89" s="263"/>
      <c r="J89" s="263"/>
      <c r="K89" s="263"/>
      <c r="L89" s="263"/>
      <c r="M89" s="263"/>
      <c r="N89" s="263"/>
      <c r="O89" s="263"/>
      <c r="P89" s="263"/>
    </row>
    <row r="90" spans="2:16" x14ac:dyDescent="0.2">
      <c r="B90" s="265"/>
      <c r="C90" s="263"/>
      <c r="D90" s="263"/>
      <c r="E90" s="263"/>
      <c r="F90" s="263"/>
      <c r="G90" s="263"/>
      <c r="H90" s="263"/>
      <c r="J90" s="263"/>
      <c r="K90" s="263"/>
      <c r="L90" s="263"/>
      <c r="M90" s="263"/>
      <c r="N90" s="263"/>
      <c r="O90" s="263"/>
      <c r="P90" s="263"/>
    </row>
    <row r="91" spans="2:16" x14ac:dyDescent="0.2">
      <c r="B91" s="265"/>
      <c r="C91" s="263"/>
      <c r="D91" s="263"/>
      <c r="E91" s="263"/>
      <c r="F91" s="263"/>
      <c r="G91" s="263"/>
      <c r="H91" s="263"/>
      <c r="J91" s="263"/>
      <c r="K91" s="263"/>
      <c r="L91" s="263"/>
      <c r="M91" s="263"/>
      <c r="N91" s="263"/>
      <c r="O91" s="263"/>
      <c r="P91" s="263"/>
    </row>
    <row r="92" spans="2:16" x14ac:dyDescent="0.2">
      <c r="B92" s="265"/>
      <c r="C92" s="263"/>
      <c r="D92" s="263"/>
      <c r="E92" s="263"/>
      <c r="F92" s="263"/>
      <c r="G92" s="263"/>
      <c r="H92" s="263"/>
      <c r="J92" s="263"/>
      <c r="K92" s="263"/>
      <c r="L92" s="263"/>
      <c r="M92" s="263"/>
      <c r="N92" s="263"/>
      <c r="O92" s="263"/>
      <c r="P92" s="263"/>
    </row>
    <row r="93" spans="2:16" x14ac:dyDescent="0.2">
      <c r="B93" s="265"/>
      <c r="C93" s="263"/>
      <c r="D93" s="263"/>
      <c r="E93" s="263"/>
      <c r="F93" s="263"/>
      <c r="G93" s="263"/>
      <c r="H93" s="263"/>
      <c r="J93" s="263"/>
      <c r="K93" s="263"/>
      <c r="L93" s="263"/>
      <c r="M93" s="263"/>
      <c r="N93" s="263"/>
      <c r="O93" s="263"/>
      <c r="P93" s="263"/>
    </row>
    <row r="94" spans="2:16" x14ac:dyDescent="0.2">
      <c r="B94" s="265"/>
      <c r="C94" s="263"/>
      <c r="D94" s="263"/>
      <c r="E94" s="263"/>
      <c r="F94" s="263"/>
      <c r="G94" s="263"/>
      <c r="H94" s="263"/>
      <c r="J94" s="263"/>
      <c r="K94" s="263"/>
      <c r="L94" s="263"/>
      <c r="M94" s="263"/>
      <c r="N94" s="263"/>
      <c r="O94" s="263"/>
      <c r="P94" s="263"/>
    </row>
    <row r="95" spans="2:16" x14ac:dyDescent="0.2">
      <c r="B95" s="265"/>
      <c r="C95" s="263"/>
      <c r="D95" s="263"/>
      <c r="E95" s="263"/>
      <c r="F95" s="263"/>
      <c r="G95" s="263"/>
      <c r="H95" s="263"/>
      <c r="J95" s="263"/>
      <c r="K95" s="263"/>
      <c r="L95" s="263"/>
      <c r="M95" s="263"/>
      <c r="N95" s="263"/>
      <c r="O95" s="263"/>
      <c r="P95" s="263"/>
    </row>
    <row r="96" spans="2:16" x14ac:dyDescent="0.2">
      <c r="B96" s="265"/>
      <c r="C96" s="263"/>
      <c r="D96" s="263"/>
      <c r="E96" s="263"/>
      <c r="F96" s="263"/>
      <c r="G96" s="263"/>
      <c r="H96" s="263"/>
      <c r="J96" s="263"/>
      <c r="K96" s="263"/>
      <c r="L96" s="263"/>
      <c r="M96" s="263"/>
      <c r="N96" s="263"/>
      <c r="O96" s="263"/>
      <c r="P96" s="263"/>
    </row>
    <row r="97" spans="1:25" x14ac:dyDescent="0.2">
      <c r="B97" s="265"/>
      <c r="C97" s="263"/>
      <c r="D97" s="263"/>
      <c r="E97" s="263"/>
      <c r="F97" s="263"/>
      <c r="G97" s="263"/>
      <c r="H97" s="263"/>
      <c r="J97" s="263"/>
      <c r="K97" s="263"/>
      <c r="L97" s="263"/>
      <c r="M97" s="263"/>
      <c r="N97" s="263"/>
      <c r="O97" s="263"/>
      <c r="P97" s="263"/>
    </row>
    <row r="98" spans="1:25" x14ac:dyDescent="0.2">
      <c r="B98" s="265"/>
      <c r="C98" s="263"/>
      <c r="D98" s="263"/>
      <c r="E98" s="263"/>
      <c r="F98" s="263"/>
      <c r="G98" s="263"/>
      <c r="H98" s="263"/>
      <c r="J98" s="263"/>
      <c r="K98" s="263"/>
      <c r="L98" s="263"/>
      <c r="M98" s="263"/>
      <c r="N98" s="263"/>
      <c r="O98" s="263"/>
      <c r="P98" s="263"/>
    </row>
    <row r="99" spans="1:25" x14ac:dyDescent="0.2">
      <c r="B99" s="265"/>
      <c r="C99" s="263"/>
      <c r="D99" s="263"/>
      <c r="E99" s="263"/>
      <c r="F99" s="263"/>
      <c r="G99" s="263"/>
      <c r="H99" s="263"/>
      <c r="J99" s="263"/>
      <c r="K99" s="263"/>
      <c r="L99" s="263"/>
      <c r="M99" s="263"/>
      <c r="N99" s="263"/>
      <c r="O99" s="263"/>
      <c r="P99" s="263"/>
    </row>
    <row r="100" spans="1:25" x14ac:dyDescent="0.2">
      <c r="B100" s="265"/>
      <c r="C100" s="263"/>
      <c r="D100" s="263"/>
      <c r="E100" s="263"/>
      <c r="F100" s="263"/>
      <c r="G100" s="263"/>
      <c r="H100" s="263"/>
      <c r="J100" s="263"/>
      <c r="K100" s="263"/>
      <c r="L100" s="263"/>
      <c r="M100" s="263"/>
      <c r="N100" s="263"/>
      <c r="O100" s="263"/>
      <c r="P100" s="263"/>
    </row>
    <row r="101" spans="1:25" x14ac:dyDescent="0.2">
      <c r="B101" s="265"/>
      <c r="C101" s="263"/>
      <c r="D101" s="263"/>
      <c r="E101" s="263"/>
      <c r="F101" s="263"/>
      <c r="G101" s="263"/>
      <c r="H101" s="263"/>
      <c r="J101" s="263"/>
      <c r="K101" s="263"/>
      <c r="L101" s="263"/>
      <c r="M101" s="263"/>
      <c r="N101" s="263"/>
      <c r="O101" s="263"/>
      <c r="P101" s="263"/>
    </row>
    <row r="102" spans="1:25" x14ac:dyDescent="0.2">
      <c r="B102" s="265"/>
      <c r="C102" s="263"/>
      <c r="D102" s="263"/>
      <c r="E102" s="263"/>
      <c r="F102" s="263"/>
      <c r="G102" s="263"/>
      <c r="H102" s="263"/>
      <c r="J102" s="263"/>
      <c r="K102" s="263"/>
      <c r="L102" s="263"/>
      <c r="M102" s="263"/>
      <c r="N102" s="263"/>
      <c r="O102" s="263"/>
      <c r="P102" s="263"/>
    </row>
    <row r="103" spans="1:25" x14ac:dyDescent="0.2">
      <c r="B103" s="265"/>
      <c r="C103" s="263"/>
      <c r="D103" s="263"/>
      <c r="E103" s="263"/>
      <c r="F103" s="263"/>
      <c r="G103" s="263"/>
      <c r="H103" s="263"/>
      <c r="J103" s="263"/>
      <c r="K103" s="263"/>
      <c r="L103" s="263"/>
      <c r="M103" s="263"/>
      <c r="N103" s="263"/>
      <c r="O103" s="263"/>
      <c r="P103" s="263"/>
    </row>
    <row r="104" spans="1:25" x14ac:dyDescent="0.2">
      <c r="B104" s="265"/>
      <c r="C104" s="263"/>
      <c r="D104" s="263"/>
      <c r="E104" s="263"/>
      <c r="F104" s="263"/>
      <c r="G104" s="263"/>
      <c r="H104" s="263"/>
      <c r="J104" s="263"/>
      <c r="K104" s="263"/>
      <c r="L104" s="263"/>
      <c r="M104" s="263"/>
      <c r="N104" s="263"/>
      <c r="O104" s="263"/>
      <c r="P104" s="263"/>
    </row>
    <row r="105" spans="1:25" x14ac:dyDescent="0.2">
      <c r="B105" s="265"/>
      <c r="C105" s="263"/>
      <c r="D105" s="263"/>
      <c r="E105" s="263"/>
      <c r="F105" s="263"/>
      <c r="G105" s="263"/>
      <c r="H105" s="263"/>
      <c r="J105" s="263"/>
      <c r="K105" s="263"/>
      <c r="L105" s="263"/>
      <c r="M105" s="263"/>
      <c r="N105" s="263"/>
      <c r="O105" s="263"/>
      <c r="P105" s="263"/>
    </row>
    <row r="106" spans="1:25" x14ac:dyDescent="0.2">
      <c r="B106" s="265"/>
      <c r="C106" s="263"/>
      <c r="D106" s="263"/>
      <c r="E106" s="263"/>
      <c r="F106" s="263"/>
      <c r="G106" s="263"/>
      <c r="H106" s="263"/>
      <c r="J106" s="263"/>
      <c r="K106" s="263"/>
      <c r="L106" s="263"/>
      <c r="M106" s="263"/>
      <c r="N106" s="263"/>
      <c r="O106" s="263"/>
      <c r="P106" s="263"/>
    </row>
    <row r="107" spans="1:25" x14ac:dyDescent="0.2">
      <c r="B107" s="265"/>
      <c r="C107" s="263"/>
      <c r="D107" s="263"/>
      <c r="E107" s="263"/>
      <c r="F107" s="263"/>
      <c r="G107" s="263"/>
      <c r="H107" s="263"/>
      <c r="J107" s="263"/>
      <c r="K107" s="263"/>
      <c r="L107" s="263"/>
      <c r="M107" s="263"/>
      <c r="N107" s="263"/>
      <c r="O107" s="263"/>
      <c r="P107" s="263"/>
    </row>
    <row r="108" spans="1:25" x14ac:dyDescent="0.2">
      <c r="B108" s="265"/>
      <c r="C108" s="263"/>
      <c r="D108" s="263"/>
      <c r="E108" s="263"/>
      <c r="F108" s="263"/>
      <c r="G108" s="263"/>
      <c r="H108" s="263"/>
      <c r="J108" s="263"/>
      <c r="K108" s="263"/>
      <c r="L108" s="263"/>
      <c r="M108" s="263"/>
      <c r="N108" s="263"/>
      <c r="O108" s="263"/>
      <c r="P108" s="263"/>
    </row>
    <row r="109" spans="1:25" x14ac:dyDescent="0.2">
      <c r="B109" s="286" t="s">
        <v>112</v>
      </c>
      <c r="C109" s="263"/>
      <c r="D109" s="263"/>
      <c r="E109" s="263"/>
      <c r="F109" s="263"/>
      <c r="G109" s="263"/>
      <c r="H109" s="263"/>
      <c r="J109" s="263"/>
      <c r="K109" s="263"/>
      <c r="L109" s="263"/>
      <c r="M109" s="263"/>
      <c r="N109" s="263"/>
      <c r="O109" s="263"/>
      <c r="P109" s="263"/>
    </row>
    <row r="110" spans="1:25" s="287" customFormat="1" x14ac:dyDescent="0.2">
      <c r="A110" s="265"/>
      <c r="B110" s="265"/>
      <c r="C110" s="265" t="s">
        <v>113</v>
      </c>
      <c r="D110" s="265" t="s">
        <v>114</v>
      </c>
      <c r="E110" s="265" t="s">
        <v>115</v>
      </c>
      <c r="F110" s="265"/>
      <c r="G110" s="265"/>
      <c r="H110" s="265" t="s">
        <v>103</v>
      </c>
      <c r="I110" s="265"/>
      <c r="J110" s="265" t="s">
        <v>102</v>
      </c>
      <c r="K110" s="265"/>
      <c r="L110" s="265"/>
      <c r="M110" s="265"/>
      <c r="N110" s="265"/>
      <c r="O110" s="265"/>
      <c r="P110" s="265"/>
      <c r="Q110" s="265"/>
      <c r="R110" s="265"/>
      <c r="S110" s="265"/>
      <c r="T110" s="265"/>
      <c r="U110" s="265"/>
      <c r="V110" s="265"/>
      <c r="W110" s="265"/>
      <c r="X110" s="265"/>
      <c r="Y110" s="265"/>
    </row>
    <row r="111" spans="1:25" x14ac:dyDescent="0.2">
      <c r="B111" s="265"/>
      <c r="C111" s="288" t="s">
        <v>35</v>
      </c>
      <c r="D111" s="288" t="s">
        <v>35</v>
      </c>
      <c r="E111" s="288" t="s">
        <v>35</v>
      </c>
      <c r="F111" s="263"/>
      <c r="G111" s="263"/>
      <c r="H111" s="288" t="s">
        <v>35</v>
      </c>
      <c r="J111" s="263"/>
      <c r="K111" s="263"/>
      <c r="L111" s="263"/>
      <c r="M111" s="263"/>
      <c r="N111" s="263"/>
      <c r="O111" s="263"/>
      <c r="P111" s="263"/>
    </row>
    <row r="112" spans="1:25" x14ac:dyDescent="0.2">
      <c r="B112" s="265"/>
      <c r="C112" s="270" t="s">
        <v>116</v>
      </c>
      <c r="D112" s="263" t="s">
        <v>117</v>
      </c>
      <c r="E112" s="263" t="s">
        <v>118</v>
      </c>
      <c r="F112" s="263"/>
      <c r="G112" s="263"/>
      <c r="H112" s="263" t="s">
        <v>119</v>
      </c>
      <c r="J112" s="263" t="s">
        <v>104</v>
      </c>
      <c r="K112" s="263"/>
      <c r="L112" s="263"/>
      <c r="M112" s="263"/>
      <c r="N112" s="263"/>
      <c r="O112" s="263"/>
      <c r="P112" s="263"/>
    </row>
    <row r="113" spans="2:16" x14ac:dyDescent="0.2">
      <c r="B113" s="265"/>
      <c r="C113" s="263" t="s">
        <v>120</v>
      </c>
      <c r="D113" s="263" t="s">
        <v>121</v>
      </c>
      <c r="E113" s="263" t="s">
        <v>85</v>
      </c>
      <c r="F113" s="263"/>
      <c r="G113" s="263"/>
      <c r="H113" s="263" t="s">
        <v>110</v>
      </c>
      <c r="J113" s="263" t="s">
        <v>122</v>
      </c>
      <c r="K113" s="263"/>
      <c r="L113" s="263"/>
      <c r="M113" s="263"/>
      <c r="N113" s="263"/>
      <c r="O113" s="263"/>
      <c r="P113" s="263"/>
    </row>
    <row r="114" spans="2:16" x14ac:dyDescent="0.2">
      <c r="B114" s="265"/>
      <c r="C114" s="263" t="s">
        <v>123</v>
      </c>
      <c r="D114" s="263" t="s">
        <v>82</v>
      </c>
      <c r="E114" s="263" t="s">
        <v>124</v>
      </c>
      <c r="F114" s="263"/>
      <c r="G114" s="263"/>
      <c r="H114" s="263" t="s">
        <v>125</v>
      </c>
      <c r="J114" s="263"/>
      <c r="K114" s="263"/>
      <c r="L114" s="263"/>
      <c r="M114" s="263"/>
      <c r="N114" s="263"/>
      <c r="O114" s="263"/>
      <c r="P114" s="263"/>
    </row>
    <row r="115" spans="2:16" x14ac:dyDescent="0.2">
      <c r="B115" s="265"/>
      <c r="C115" s="263" t="s">
        <v>126</v>
      </c>
      <c r="D115" s="263" t="s">
        <v>127</v>
      </c>
      <c r="E115" s="263" t="s">
        <v>128</v>
      </c>
      <c r="F115" s="263"/>
      <c r="G115" s="263"/>
      <c r="H115" s="263" t="s">
        <v>27</v>
      </c>
      <c r="J115" s="263"/>
      <c r="K115" s="263"/>
      <c r="L115" s="263"/>
      <c r="M115" s="263"/>
      <c r="N115" s="263"/>
      <c r="O115" s="263"/>
      <c r="P115" s="263"/>
    </row>
    <row r="116" spans="2:16" x14ac:dyDescent="0.2">
      <c r="B116" s="265"/>
      <c r="C116" s="263" t="s">
        <v>80</v>
      </c>
      <c r="D116" s="263"/>
      <c r="E116" s="263" t="s">
        <v>129</v>
      </c>
      <c r="F116" s="263"/>
      <c r="G116" s="263"/>
      <c r="H116" s="263" t="s">
        <v>129</v>
      </c>
      <c r="J116" s="263"/>
      <c r="K116" s="263"/>
      <c r="L116" s="263"/>
      <c r="M116" s="263"/>
      <c r="N116" s="263"/>
      <c r="O116" s="263"/>
      <c r="P116" s="263"/>
    </row>
    <row r="117" spans="2:16" x14ac:dyDescent="0.2">
      <c r="B117" s="265"/>
      <c r="C117" s="263" t="s">
        <v>130</v>
      </c>
      <c r="D117" s="263"/>
      <c r="E117" s="263"/>
      <c r="F117" s="263"/>
      <c r="G117" s="263"/>
      <c r="H117" s="263"/>
      <c r="J117" s="263"/>
      <c r="K117" s="263"/>
      <c r="L117" s="263"/>
      <c r="M117" s="263"/>
      <c r="N117" s="263"/>
      <c r="O117" s="263"/>
      <c r="P117" s="263"/>
    </row>
    <row r="118" spans="2:16" x14ac:dyDescent="0.2">
      <c r="B118" s="265"/>
      <c r="C118" s="263" t="s">
        <v>131</v>
      </c>
      <c r="D118" s="263"/>
      <c r="E118" s="263"/>
      <c r="F118" s="263"/>
      <c r="G118" s="263"/>
      <c r="H118" s="263"/>
      <c r="J118" s="263"/>
      <c r="K118" s="263"/>
      <c r="L118" s="263"/>
      <c r="M118" s="263"/>
      <c r="N118" s="263"/>
      <c r="O118" s="263"/>
      <c r="P118" s="263"/>
    </row>
    <row r="119" spans="2:16" x14ac:dyDescent="0.2">
      <c r="B119" s="265"/>
      <c r="C119" s="263" t="s">
        <v>132</v>
      </c>
      <c r="D119" s="263"/>
      <c r="E119" s="263"/>
      <c r="F119" s="263"/>
      <c r="G119" s="263"/>
      <c r="H119" s="263"/>
      <c r="J119" s="263"/>
      <c r="K119" s="263"/>
      <c r="L119" s="263"/>
      <c r="M119" s="263"/>
      <c r="N119" s="263"/>
      <c r="O119" s="263"/>
      <c r="P119" s="263"/>
    </row>
    <row r="120" spans="2:16" x14ac:dyDescent="0.2">
      <c r="B120" s="265"/>
      <c r="C120" s="270" t="s">
        <v>133</v>
      </c>
      <c r="D120" s="263"/>
      <c r="E120" s="263"/>
      <c r="F120" s="263"/>
      <c r="G120" s="263"/>
      <c r="H120" s="263"/>
      <c r="J120" s="263"/>
      <c r="K120" s="263"/>
      <c r="L120" s="263"/>
      <c r="M120" s="263"/>
      <c r="N120" s="263"/>
      <c r="O120" s="263"/>
      <c r="P120" s="263"/>
    </row>
    <row r="121" spans="2:16" x14ac:dyDescent="0.2">
      <c r="B121" s="265"/>
    </row>
    <row r="122" spans="2:16" x14ac:dyDescent="0.2">
      <c r="B122" s="265"/>
    </row>
    <row r="123" spans="2:16" x14ac:dyDescent="0.2">
      <c r="B123" s="265"/>
    </row>
    <row r="124" spans="2:16" x14ac:dyDescent="0.2">
      <c r="B124" s="265"/>
    </row>
    <row r="125" spans="2:16" x14ac:dyDescent="0.2">
      <c r="B125" s="265"/>
    </row>
    <row r="126" spans="2:16" x14ac:dyDescent="0.2">
      <c r="B126" s="265"/>
    </row>
    <row r="127" spans="2:16" x14ac:dyDescent="0.2">
      <c r="B127" s="265"/>
    </row>
    <row r="128" spans="2:16" x14ac:dyDescent="0.2">
      <c r="B128" s="265"/>
    </row>
    <row r="129" spans="2:2" x14ac:dyDescent="0.2">
      <c r="B129" s="265"/>
    </row>
    <row r="130" spans="2:2" x14ac:dyDescent="0.2">
      <c r="B130" s="265"/>
    </row>
    <row r="131" spans="2:2" x14ac:dyDescent="0.2">
      <c r="B131" s="265"/>
    </row>
    <row r="132" spans="2:2" x14ac:dyDescent="0.2">
      <c r="B132" s="265"/>
    </row>
    <row r="133" spans="2:2" x14ac:dyDescent="0.2">
      <c r="B133" s="265"/>
    </row>
    <row r="134" spans="2:2" x14ac:dyDescent="0.2">
      <c r="B134" s="265"/>
    </row>
    <row r="135" spans="2:2" x14ac:dyDescent="0.2">
      <c r="B135" s="265"/>
    </row>
    <row r="136" spans="2:2" x14ac:dyDescent="0.2">
      <c r="B136" s="265"/>
    </row>
    <row r="137" spans="2:2" x14ac:dyDescent="0.2">
      <c r="B137" s="265"/>
    </row>
    <row r="138" spans="2:2" x14ac:dyDescent="0.2">
      <c r="B138" s="265"/>
    </row>
    <row r="139" spans="2:2" x14ac:dyDescent="0.2">
      <c r="B139" s="265"/>
    </row>
    <row r="140" spans="2:2" x14ac:dyDescent="0.2">
      <c r="B140" s="265"/>
    </row>
    <row r="141" spans="2:2" x14ac:dyDescent="0.2">
      <c r="B141" s="265"/>
    </row>
    <row r="142" spans="2:2" x14ac:dyDescent="0.2">
      <c r="B142" s="265"/>
    </row>
    <row r="143" spans="2:2" x14ac:dyDescent="0.2">
      <c r="B143" s="265"/>
    </row>
    <row r="144" spans="2:2" x14ac:dyDescent="0.2">
      <c r="B144" s="265"/>
    </row>
    <row r="145" spans="2:2" x14ac:dyDescent="0.2">
      <c r="B145" s="265"/>
    </row>
    <row r="146" spans="2:2" x14ac:dyDescent="0.2">
      <c r="B146" s="265"/>
    </row>
    <row r="147" spans="2:2" x14ac:dyDescent="0.2">
      <c r="B147" s="265"/>
    </row>
    <row r="148" spans="2:2" x14ac:dyDescent="0.2">
      <c r="B148" s="265"/>
    </row>
    <row r="149" spans="2:2" x14ac:dyDescent="0.2">
      <c r="B149" s="265"/>
    </row>
    <row r="150" spans="2:2" x14ac:dyDescent="0.2">
      <c r="B150" s="265"/>
    </row>
    <row r="151" spans="2:2" x14ac:dyDescent="0.2">
      <c r="B151" s="265"/>
    </row>
    <row r="152" spans="2:2" x14ac:dyDescent="0.2">
      <c r="B152" s="265"/>
    </row>
    <row r="153" spans="2:2" x14ac:dyDescent="0.2">
      <c r="B153" s="265"/>
    </row>
    <row r="154" spans="2:2" x14ac:dyDescent="0.2">
      <c r="B154" s="265"/>
    </row>
    <row r="155" spans="2:2" x14ac:dyDescent="0.2">
      <c r="B155" s="265"/>
    </row>
    <row r="156" spans="2:2" x14ac:dyDescent="0.2">
      <c r="B156" s="265"/>
    </row>
    <row r="157" spans="2:2" x14ac:dyDescent="0.2">
      <c r="B157" s="265"/>
    </row>
    <row r="158" spans="2:2" x14ac:dyDescent="0.2">
      <c r="B158" s="265"/>
    </row>
    <row r="159" spans="2:2" x14ac:dyDescent="0.2">
      <c r="B159" s="265"/>
    </row>
    <row r="160" spans="2:2" x14ac:dyDescent="0.2">
      <c r="B160" s="265"/>
    </row>
    <row r="161" spans="2:2" x14ac:dyDescent="0.2">
      <c r="B161" s="265"/>
    </row>
    <row r="162" spans="2:2" x14ac:dyDescent="0.2">
      <c r="B162" s="265"/>
    </row>
    <row r="163" spans="2:2" x14ac:dyDescent="0.2">
      <c r="B163" s="265"/>
    </row>
    <row r="164" spans="2:2" x14ac:dyDescent="0.2">
      <c r="B164" s="265"/>
    </row>
    <row r="165" spans="2:2" x14ac:dyDescent="0.2">
      <c r="B165" s="265"/>
    </row>
    <row r="166" spans="2:2" x14ac:dyDescent="0.2">
      <c r="B166" s="265"/>
    </row>
    <row r="167" spans="2:2" x14ac:dyDescent="0.2">
      <c r="B167" s="265"/>
    </row>
    <row r="168" spans="2:2" x14ac:dyDescent="0.2">
      <c r="B168" s="265"/>
    </row>
    <row r="169" spans="2:2" x14ac:dyDescent="0.2">
      <c r="B169" s="265"/>
    </row>
    <row r="170" spans="2:2" x14ac:dyDescent="0.2">
      <c r="B170" s="265"/>
    </row>
    <row r="171" spans="2:2" x14ac:dyDescent="0.2">
      <c r="B171" s="265"/>
    </row>
    <row r="172" spans="2:2" x14ac:dyDescent="0.2">
      <c r="B172" s="265"/>
    </row>
    <row r="173" spans="2:2" x14ac:dyDescent="0.2">
      <c r="B173" s="265"/>
    </row>
    <row r="174" spans="2:2" x14ac:dyDescent="0.2">
      <c r="B174" s="265"/>
    </row>
    <row r="175" spans="2:2" x14ac:dyDescent="0.2">
      <c r="B175" s="265"/>
    </row>
    <row r="176" spans="2:2" x14ac:dyDescent="0.2">
      <c r="B176" s="265"/>
    </row>
    <row r="177" spans="2:2" x14ac:dyDescent="0.2">
      <c r="B177" s="265"/>
    </row>
    <row r="178" spans="2:2" x14ac:dyDescent="0.2">
      <c r="B178" s="265"/>
    </row>
    <row r="179" spans="2:2" x14ac:dyDescent="0.2">
      <c r="B179" s="265"/>
    </row>
    <row r="180" spans="2:2" x14ac:dyDescent="0.2">
      <c r="B180" s="265"/>
    </row>
    <row r="181" spans="2:2" x14ac:dyDescent="0.2">
      <c r="B181" s="265"/>
    </row>
    <row r="182" spans="2:2" x14ac:dyDescent="0.2">
      <c r="B182" s="265"/>
    </row>
    <row r="183" spans="2:2" x14ac:dyDescent="0.2">
      <c r="B183" s="265"/>
    </row>
    <row r="184" spans="2:2" x14ac:dyDescent="0.2">
      <c r="B184" s="265"/>
    </row>
    <row r="185" spans="2:2" x14ac:dyDescent="0.2">
      <c r="B185" s="265"/>
    </row>
    <row r="186" spans="2:2" x14ac:dyDescent="0.2">
      <c r="B186" s="265"/>
    </row>
    <row r="187" spans="2:2" x14ac:dyDescent="0.2">
      <c r="B187" s="265"/>
    </row>
    <row r="188" spans="2:2" x14ac:dyDescent="0.2">
      <c r="B188" s="265"/>
    </row>
    <row r="189" spans="2:2" x14ac:dyDescent="0.2">
      <c r="B189" s="265"/>
    </row>
    <row r="190" spans="2:2" x14ac:dyDescent="0.2">
      <c r="B190" s="265"/>
    </row>
    <row r="191" spans="2:2" x14ac:dyDescent="0.2">
      <c r="B191" s="265"/>
    </row>
    <row r="192" spans="2:2" x14ac:dyDescent="0.2">
      <c r="B192" s="265"/>
    </row>
    <row r="193" spans="2:2" x14ac:dyDescent="0.2">
      <c r="B193" s="265"/>
    </row>
    <row r="194" spans="2:2" x14ac:dyDescent="0.2">
      <c r="B194" s="265"/>
    </row>
    <row r="195" spans="2:2" x14ac:dyDescent="0.2">
      <c r="B195" s="265"/>
    </row>
    <row r="196" spans="2:2" x14ac:dyDescent="0.2">
      <c r="B196" s="265"/>
    </row>
    <row r="197" spans="2:2" x14ac:dyDescent="0.2">
      <c r="B197" s="265"/>
    </row>
    <row r="198" spans="2:2" x14ac:dyDescent="0.2">
      <c r="B198" s="265"/>
    </row>
    <row r="199" spans="2:2" x14ac:dyDescent="0.2">
      <c r="B199" s="265"/>
    </row>
    <row r="200" spans="2:2" x14ac:dyDescent="0.2">
      <c r="B200" s="265"/>
    </row>
    <row r="201" spans="2:2" x14ac:dyDescent="0.2">
      <c r="B201" s="265"/>
    </row>
    <row r="202" spans="2:2" x14ac:dyDescent="0.2">
      <c r="B202" s="265"/>
    </row>
    <row r="203" spans="2:2" x14ac:dyDescent="0.2">
      <c r="B203" s="265"/>
    </row>
    <row r="204" spans="2:2" x14ac:dyDescent="0.2">
      <c r="B204" s="265"/>
    </row>
    <row r="205" spans="2:2" x14ac:dyDescent="0.2">
      <c r="B205" s="265"/>
    </row>
    <row r="206" spans="2:2" x14ac:dyDescent="0.2">
      <c r="B206" s="265"/>
    </row>
    <row r="207" spans="2:2" x14ac:dyDescent="0.2">
      <c r="B207" s="265"/>
    </row>
    <row r="208" spans="2:2" x14ac:dyDescent="0.2">
      <c r="B208" s="265"/>
    </row>
    <row r="209" spans="2:2" x14ac:dyDescent="0.2">
      <c r="B209" s="265"/>
    </row>
    <row r="210" spans="2:2" x14ac:dyDescent="0.2">
      <c r="B210" s="265"/>
    </row>
    <row r="211" spans="2:2" x14ac:dyDescent="0.2">
      <c r="B211" s="265"/>
    </row>
    <row r="212" spans="2:2" x14ac:dyDescent="0.2">
      <c r="B212" s="265"/>
    </row>
    <row r="213" spans="2:2" x14ac:dyDescent="0.2">
      <c r="B213" s="265"/>
    </row>
    <row r="214" spans="2:2" x14ac:dyDescent="0.2">
      <c r="B214" s="265"/>
    </row>
    <row r="215" spans="2:2" x14ac:dyDescent="0.2">
      <c r="B215" s="265"/>
    </row>
    <row r="216" spans="2:2" x14ac:dyDescent="0.2">
      <c r="B216" s="265"/>
    </row>
    <row r="217" spans="2:2" x14ac:dyDescent="0.2">
      <c r="B217" s="265"/>
    </row>
    <row r="218" spans="2:2" x14ac:dyDescent="0.2">
      <c r="B218" s="265"/>
    </row>
    <row r="219" spans="2:2" x14ac:dyDescent="0.2">
      <c r="B219" s="265"/>
    </row>
    <row r="220" spans="2:2" x14ac:dyDescent="0.2">
      <c r="B220" s="265"/>
    </row>
    <row r="221" spans="2:2" x14ac:dyDescent="0.2">
      <c r="B221" s="265"/>
    </row>
    <row r="222" spans="2:2" x14ac:dyDescent="0.2">
      <c r="B222" s="265"/>
    </row>
    <row r="223" spans="2:2" x14ac:dyDescent="0.2">
      <c r="B223" s="265"/>
    </row>
    <row r="224" spans="2:2" x14ac:dyDescent="0.2">
      <c r="B224" s="265"/>
    </row>
    <row r="225" spans="2:2" x14ac:dyDescent="0.2">
      <c r="B225" s="265"/>
    </row>
    <row r="226" spans="2:2" x14ac:dyDescent="0.2">
      <c r="B226" s="265"/>
    </row>
    <row r="227" spans="2:2" x14ac:dyDescent="0.2">
      <c r="B227" s="265"/>
    </row>
    <row r="228" spans="2:2" x14ac:dyDescent="0.2">
      <c r="B228" s="265"/>
    </row>
    <row r="229" spans="2:2" x14ac:dyDescent="0.2">
      <c r="B229" s="265"/>
    </row>
    <row r="230" spans="2:2" x14ac:dyDescent="0.2">
      <c r="B230" s="265"/>
    </row>
    <row r="231" spans="2:2" x14ac:dyDescent="0.2">
      <c r="B231" s="265"/>
    </row>
    <row r="232" spans="2:2" x14ac:dyDescent="0.2">
      <c r="B232" s="265"/>
    </row>
    <row r="233" spans="2:2" x14ac:dyDescent="0.2">
      <c r="B233" s="265"/>
    </row>
    <row r="234" spans="2:2" x14ac:dyDescent="0.2">
      <c r="B234" s="265"/>
    </row>
    <row r="235" spans="2:2" x14ac:dyDescent="0.2">
      <c r="B235" s="265"/>
    </row>
    <row r="236" spans="2:2" x14ac:dyDescent="0.2">
      <c r="B236" s="265"/>
    </row>
    <row r="237" spans="2:2" x14ac:dyDescent="0.2">
      <c r="B237" s="265"/>
    </row>
    <row r="238" spans="2:2" x14ac:dyDescent="0.2">
      <c r="B238" s="265"/>
    </row>
    <row r="239" spans="2:2" x14ac:dyDescent="0.2">
      <c r="B239" s="265"/>
    </row>
    <row r="240" spans="2:2" x14ac:dyDescent="0.2">
      <c r="B240" s="265"/>
    </row>
    <row r="241" spans="2:2" x14ac:dyDescent="0.2">
      <c r="B241" s="265"/>
    </row>
    <row r="242" spans="2:2" x14ac:dyDescent="0.2">
      <c r="B242" s="265"/>
    </row>
    <row r="243" spans="2:2" x14ac:dyDescent="0.2">
      <c r="B243" s="265"/>
    </row>
    <row r="244" spans="2:2" x14ac:dyDescent="0.2">
      <c r="B244" s="265"/>
    </row>
    <row r="245" spans="2:2" x14ac:dyDescent="0.2">
      <c r="B245" s="265"/>
    </row>
    <row r="246" spans="2:2" x14ac:dyDescent="0.2">
      <c r="B246" s="265"/>
    </row>
    <row r="247" spans="2:2" x14ac:dyDescent="0.2">
      <c r="B247" s="265"/>
    </row>
    <row r="248" spans="2:2" x14ac:dyDescent="0.2">
      <c r="B248" s="265"/>
    </row>
    <row r="249" spans="2:2" x14ac:dyDescent="0.2">
      <c r="B249" s="265"/>
    </row>
    <row r="250" spans="2:2" x14ac:dyDescent="0.2">
      <c r="B250" s="265"/>
    </row>
    <row r="251" spans="2:2" x14ac:dyDescent="0.2">
      <c r="B251" s="265"/>
    </row>
    <row r="252" spans="2:2" x14ac:dyDescent="0.2">
      <c r="B252" s="265"/>
    </row>
    <row r="253" spans="2:2" x14ac:dyDescent="0.2">
      <c r="B253" s="265"/>
    </row>
    <row r="254" spans="2:2" x14ac:dyDescent="0.2">
      <c r="B254" s="265"/>
    </row>
    <row r="255" spans="2:2" x14ac:dyDescent="0.2">
      <c r="B255" s="265"/>
    </row>
    <row r="256" spans="2:2" x14ac:dyDescent="0.2">
      <c r="B256" s="265"/>
    </row>
    <row r="257" spans="2:2" x14ac:dyDescent="0.2">
      <c r="B257" s="265"/>
    </row>
    <row r="258" spans="2:2" x14ac:dyDescent="0.2">
      <c r="B258" s="265"/>
    </row>
    <row r="259" spans="2:2" x14ac:dyDescent="0.2">
      <c r="B259" s="265"/>
    </row>
    <row r="260" spans="2:2" x14ac:dyDescent="0.2">
      <c r="B260" s="265"/>
    </row>
    <row r="261" spans="2:2" x14ac:dyDescent="0.2">
      <c r="B261" s="265"/>
    </row>
    <row r="262" spans="2:2" x14ac:dyDescent="0.2">
      <c r="B262" s="265"/>
    </row>
    <row r="263" spans="2:2" x14ac:dyDescent="0.2">
      <c r="B263" s="265"/>
    </row>
    <row r="264" spans="2:2" x14ac:dyDescent="0.2">
      <c r="B264" s="265"/>
    </row>
    <row r="265" spans="2:2" x14ac:dyDescent="0.2">
      <c r="B265" s="265"/>
    </row>
    <row r="266" spans="2:2" x14ac:dyDescent="0.2">
      <c r="B266" s="265"/>
    </row>
    <row r="267" spans="2:2" x14ac:dyDescent="0.2">
      <c r="B267" s="265"/>
    </row>
    <row r="268" spans="2:2" x14ac:dyDescent="0.2">
      <c r="B268" s="265"/>
    </row>
    <row r="269" spans="2:2" x14ac:dyDescent="0.2">
      <c r="B269" s="265"/>
    </row>
    <row r="270" spans="2:2" x14ac:dyDescent="0.2">
      <c r="B270" s="265"/>
    </row>
    <row r="271" spans="2:2" x14ac:dyDescent="0.2">
      <c r="B271" s="265"/>
    </row>
    <row r="272" spans="2:2" x14ac:dyDescent="0.2">
      <c r="B272" s="265"/>
    </row>
    <row r="273" spans="2:2" x14ac:dyDescent="0.2">
      <c r="B273" s="265"/>
    </row>
    <row r="274" spans="2:2" x14ac:dyDescent="0.2">
      <c r="B274" s="265"/>
    </row>
    <row r="275" spans="2:2" x14ac:dyDescent="0.2">
      <c r="B275" s="265"/>
    </row>
    <row r="276" spans="2:2" x14ac:dyDescent="0.2">
      <c r="B276" s="265"/>
    </row>
    <row r="277" spans="2:2" x14ac:dyDescent="0.2">
      <c r="B277" s="265"/>
    </row>
    <row r="278" spans="2:2" x14ac:dyDescent="0.2">
      <c r="B278" s="265"/>
    </row>
    <row r="279" spans="2:2" x14ac:dyDescent="0.2">
      <c r="B279" s="265"/>
    </row>
    <row r="280" spans="2:2" x14ac:dyDescent="0.2">
      <c r="B280" s="265"/>
    </row>
    <row r="281" spans="2:2" x14ac:dyDescent="0.2">
      <c r="B281" s="265"/>
    </row>
    <row r="282" spans="2:2" x14ac:dyDescent="0.2">
      <c r="B282" s="265"/>
    </row>
    <row r="283" spans="2:2" x14ac:dyDescent="0.2">
      <c r="B283" s="265"/>
    </row>
    <row r="284" spans="2:2" x14ac:dyDescent="0.2">
      <c r="B284" s="265"/>
    </row>
    <row r="285" spans="2:2" x14ac:dyDescent="0.2">
      <c r="B285" s="265"/>
    </row>
    <row r="286" spans="2:2" x14ac:dyDescent="0.2">
      <c r="B286" s="265"/>
    </row>
    <row r="287" spans="2:2" x14ac:dyDescent="0.2">
      <c r="B287" s="265"/>
    </row>
    <row r="288" spans="2:2" x14ac:dyDescent="0.2">
      <c r="B288" s="265"/>
    </row>
    <row r="289" spans="2:2" x14ac:dyDescent="0.2">
      <c r="B289" s="265"/>
    </row>
    <row r="290" spans="2:2" x14ac:dyDescent="0.2">
      <c r="B290" s="265"/>
    </row>
    <row r="291" spans="2:2" x14ac:dyDescent="0.2">
      <c r="B291" s="265"/>
    </row>
    <row r="292" spans="2:2" x14ac:dyDescent="0.2">
      <c r="B292" s="265"/>
    </row>
    <row r="293" spans="2:2" x14ac:dyDescent="0.2">
      <c r="B293" s="265"/>
    </row>
    <row r="294" spans="2:2" x14ac:dyDescent="0.2">
      <c r="B294" s="265"/>
    </row>
    <row r="295" spans="2:2" x14ac:dyDescent="0.2">
      <c r="B295" s="265"/>
    </row>
    <row r="296" spans="2:2" x14ac:dyDescent="0.2">
      <c r="B296" s="265"/>
    </row>
    <row r="297" spans="2:2" x14ac:dyDescent="0.2">
      <c r="B297" s="265"/>
    </row>
    <row r="298" spans="2:2" x14ac:dyDescent="0.2">
      <c r="B298" s="265"/>
    </row>
    <row r="299" spans="2:2" x14ac:dyDescent="0.2">
      <c r="B299" s="265"/>
    </row>
    <row r="300" spans="2:2" x14ac:dyDescent="0.2">
      <c r="B300" s="265"/>
    </row>
    <row r="301" spans="2:2" x14ac:dyDescent="0.2">
      <c r="B301" s="265"/>
    </row>
    <row r="302" spans="2:2" x14ac:dyDescent="0.2">
      <c r="B302" s="265"/>
    </row>
    <row r="303" spans="2:2" x14ac:dyDescent="0.2">
      <c r="B303" s="265"/>
    </row>
    <row r="304" spans="2:2" x14ac:dyDescent="0.2">
      <c r="B304" s="265"/>
    </row>
    <row r="305" spans="2:2" x14ac:dyDescent="0.2">
      <c r="B305" s="265"/>
    </row>
    <row r="306" spans="2:2" x14ac:dyDescent="0.2">
      <c r="B306" s="265"/>
    </row>
    <row r="307" spans="2:2" x14ac:dyDescent="0.2">
      <c r="B307" s="265"/>
    </row>
    <row r="308" spans="2:2" x14ac:dyDescent="0.2">
      <c r="B308" s="265"/>
    </row>
    <row r="309" spans="2:2" x14ac:dyDescent="0.2">
      <c r="B309" s="265"/>
    </row>
    <row r="310" spans="2:2" x14ac:dyDescent="0.2">
      <c r="B310" s="265"/>
    </row>
    <row r="311" spans="2:2" x14ac:dyDescent="0.2">
      <c r="B311" s="265"/>
    </row>
    <row r="312" spans="2:2" x14ac:dyDescent="0.2">
      <c r="B312" s="265"/>
    </row>
    <row r="313" spans="2:2" x14ac:dyDescent="0.2">
      <c r="B313" s="265"/>
    </row>
    <row r="314" spans="2:2" x14ac:dyDescent="0.2">
      <c r="B314" s="265"/>
    </row>
    <row r="315" spans="2:2" x14ac:dyDescent="0.2">
      <c r="B315" s="265"/>
    </row>
    <row r="316" spans="2:2" x14ac:dyDescent="0.2">
      <c r="B316" s="265"/>
    </row>
    <row r="317" spans="2:2" x14ac:dyDescent="0.2">
      <c r="B317" s="265"/>
    </row>
    <row r="318" spans="2:2" x14ac:dyDescent="0.2">
      <c r="B318" s="265"/>
    </row>
    <row r="319" spans="2:2" x14ac:dyDescent="0.2">
      <c r="B319" s="265"/>
    </row>
    <row r="320" spans="2:2" x14ac:dyDescent="0.2">
      <c r="B320" s="265"/>
    </row>
    <row r="321" spans="2:2" x14ac:dyDescent="0.2">
      <c r="B321" s="265"/>
    </row>
    <row r="322" spans="2:2" x14ac:dyDescent="0.2">
      <c r="B322" s="265"/>
    </row>
    <row r="323" spans="2:2" x14ac:dyDescent="0.2">
      <c r="B323" s="265"/>
    </row>
    <row r="324" spans="2:2" x14ac:dyDescent="0.2">
      <c r="B324" s="265"/>
    </row>
    <row r="325" spans="2:2" x14ac:dyDescent="0.2">
      <c r="B325" s="265"/>
    </row>
    <row r="326" spans="2:2" x14ac:dyDescent="0.2">
      <c r="B326" s="265"/>
    </row>
    <row r="327" spans="2:2" x14ac:dyDescent="0.2">
      <c r="B327" s="265"/>
    </row>
    <row r="328" spans="2:2" x14ac:dyDescent="0.2">
      <c r="B328" s="265"/>
    </row>
    <row r="329" spans="2:2" x14ac:dyDescent="0.2">
      <c r="B329" s="265"/>
    </row>
    <row r="330" spans="2:2" x14ac:dyDescent="0.2">
      <c r="B330" s="265"/>
    </row>
    <row r="331" spans="2:2" x14ac:dyDescent="0.2">
      <c r="B331" s="265"/>
    </row>
    <row r="332" spans="2:2" x14ac:dyDescent="0.2">
      <c r="B332" s="265"/>
    </row>
    <row r="333" spans="2:2" x14ac:dyDescent="0.2">
      <c r="B333" s="265"/>
    </row>
    <row r="334" spans="2:2" x14ac:dyDescent="0.2">
      <c r="B334" s="265"/>
    </row>
    <row r="335" spans="2:2" x14ac:dyDescent="0.2">
      <c r="B335" s="265"/>
    </row>
    <row r="336" spans="2:2" x14ac:dyDescent="0.2">
      <c r="B336" s="265"/>
    </row>
    <row r="337" spans="2:2" x14ac:dyDescent="0.2">
      <c r="B337" s="265"/>
    </row>
    <row r="338" spans="2:2" x14ac:dyDescent="0.2">
      <c r="B338" s="265"/>
    </row>
    <row r="339" spans="2:2" x14ac:dyDescent="0.2">
      <c r="B339" s="265"/>
    </row>
    <row r="340" spans="2:2" x14ac:dyDescent="0.2">
      <c r="B340" s="265"/>
    </row>
    <row r="341" spans="2:2" x14ac:dyDescent="0.2">
      <c r="B341" s="265"/>
    </row>
    <row r="342" spans="2:2" x14ac:dyDescent="0.2">
      <c r="B342" s="265"/>
    </row>
    <row r="343" spans="2:2" x14ac:dyDescent="0.2">
      <c r="B343" s="265"/>
    </row>
    <row r="344" spans="2:2" x14ac:dyDescent="0.2">
      <c r="B344" s="265"/>
    </row>
    <row r="345" spans="2:2" x14ac:dyDescent="0.2">
      <c r="B345" s="265"/>
    </row>
    <row r="346" spans="2:2" x14ac:dyDescent="0.2">
      <c r="B346" s="265"/>
    </row>
    <row r="347" spans="2:2" x14ac:dyDescent="0.2">
      <c r="B347" s="265"/>
    </row>
    <row r="348" spans="2:2" x14ac:dyDescent="0.2">
      <c r="B348" s="265"/>
    </row>
    <row r="349" spans="2:2" x14ac:dyDescent="0.2">
      <c r="B349" s="265"/>
    </row>
    <row r="350" spans="2:2" x14ac:dyDescent="0.2">
      <c r="B350" s="265"/>
    </row>
    <row r="351" spans="2:2" x14ac:dyDescent="0.2">
      <c r="B351" s="265"/>
    </row>
    <row r="352" spans="2:2" x14ac:dyDescent="0.2">
      <c r="B352" s="265"/>
    </row>
    <row r="353" spans="2:2" x14ac:dyDescent="0.2">
      <c r="B353" s="265"/>
    </row>
    <row r="354" spans="2:2" x14ac:dyDescent="0.2">
      <c r="B354" s="265"/>
    </row>
    <row r="355" spans="2:2" x14ac:dyDescent="0.2">
      <c r="B355" s="265"/>
    </row>
    <row r="356" spans="2:2" x14ac:dyDescent="0.2">
      <c r="B356" s="265"/>
    </row>
    <row r="357" spans="2:2" x14ac:dyDescent="0.2">
      <c r="B357" s="265"/>
    </row>
    <row r="358" spans="2:2" x14ac:dyDescent="0.2">
      <c r="B358" s="265"/>
    </row>
    <row r="359" spans="2:2" x14ac:dyDescent="0.2">
      <c r="B359" s="265"/>
    </row>
  </sheetData>
  <sheetProtection formatCells="0" formatRows="0" insertRows="0" insertHyperlinks="0" deleteRows="0" selectLockedCells="1"/>
  <mergeCells count="29">
    <mergeCell ref="B40:P40"/>
    <mergeCell ref="J22:P22"/>
    <mergeCell ref="J34:P34"/>
    <mergeCell ref="B12:C12"/>
    <mergeCell ref="B6:C6"/>
    <mergeCell ref="D6:O6"/>
    <mergeCell ref="B8:P8"/>
    <mergeCell ref="B13:C13"/>
    <mergeCell ref="D13:E13"/>
    <mergeCell ref="B11:C11"/>
    <mergeCell ref="B20:P20"/>
    <mergeCell ref="B14:C14"/>
    <mergeCell ref="D14:E14"/>
    <mergeCell ref="B10:C10"/>
    <mergeCell ref="D10:E10"/>
    <mergeCell ref="B47:P47"/>
    <mergeCell ref="B16:C16"/>
    <mergeCell ref="D16:E16"/>
    <mergeCell ref="B17:C17"/>
    <mergeCell ref="D17:E17"/>
    <mergeCell ref="B15:C15"/>
    <mergeCell ref="D15:E15"/>
    <mergeCell ref="B1:Q1"/>
    <mergeCell ref="B2:Q2"/>
    <mergeCell ref="B4:C4"/>
    <mergeCell ref="B5:C5"/>
    <mergeCell ref="G5:J5"/>
    <mergeCell ref="D11:E11"/>
    <mergeCell ref="D12:E12"/>
  </mergeCells>
  <conditionalFormatting sqref="H44 H50:H53">
    <cfRule type="cellIs" dxfId="4" priority="13" stopIfTrue="1" operator="equal">
      <formula>0</formula>
    </cfRule>
  </conditionalFormatting>
  <conditionalFormatting sqref="G50:G53 G43:G44">
    <cfRule type="cellIs" dxfId="3" priority="12" stopIfTrue="1" operator="equal">
      <formula>1</formula>
    </cfRule>
  </conditionalFormatting>
  <conditionalFormatting sqref="H44">
    <cfRule type="cellIs" dxfId="2" priority="3" stopIfTrue="1" operator="equal">
      <formula>0</formula>
    </cfRule>
  </conditionalFormatting>
  <conditionalFormatting sqref="G43:G44">
    <cfRule type="cellIs" dxfId="1" priority="2" stopIfTrue="1" operator="equal">
      <formula>1</formula>
    </cfRule>
  </conditionalFormatting>
  <conditionalFormatting sqref="H43">
    <cfRule type="cellIs" dxfId="0" priority="1" stopIfTrue="1" operator="equal">
      <formula>0</formula>
    </cfRule>
  </conditionalFormatting>
  <dataValidations count="7">
    <dataValidation type="list" allowBlank="1" showInputMessage="1" showErrorMessage="1" sqref="N50:N51">
      <formula1>$H$111:$H$116</formula1>
    </dataValidation>
    <dataValidation type="list" allowBlank="1" showInputMessage="1" showErrorMessage="1" sqref="M50:M51 M43">
      <formula1>$J$111:$J$113</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$C$111:$C$120</formula1>
    </dataValidation>
    <dataValidation type="list" allowBlank="1" showInputMessage="1" showErrorMessage="1" sqref="D14:E14">
      <formula1>$D$111:$D$115</formula1>
    </dataValidation>
    <dataValidation type="list" allowBlank="1" showInputMessage="1" showErrorMessage="1" sqref="D16:E16">
      <formula1>$E$111:$E$116</formula1>
    </dataValidation>
  </dataValidations>
  <pageMargins left="0.25" right="0.25" top="0.5" bottom="0.5" header="0.3" footer="0.3"/>
  <pageSetup paperSize="3" scale="75" fitToHeight="100" orientation="landscape" r:id="rId1"/>
  <headerFooter alignWithMargins="0">
    <oddFooter>Page &amp;P&amp;R&amp;F</oddFooter>
  </headerFooter>
  <ignoredErrors>
    <ignoredError sqref="C51 E51:G51" unlockedFormula="1"/>
  </ignoredErrors>
  <drawing r:id="rId2"/>
  <legacyDrawing r:id="rId3"/>
  <controls>
    <mc:AlternateContent xmlns:mc="http://schemas.openxmlformats.org/markup-compatibility/2006">
      <mc:Choice Requires="x14">
        <control shapeId="8196" r:id="rId4" name="CheckBox3">
          <controlPr defaultSize="0" autoFill="0" autoLine="0" r:id="rId5">
            <anchor moveWithCells="1">
              <from>
                <xdr:col>4</xdr:col>
                <xdr:colOff>0</xdr:colOff>
                <xdr:row>16</xdr:row>
                <xdr:rowOff>28575</xdr:rowOff>
              </from>
              <to>
                <xdr:col>5</xdr:col>
                <xdr:colOff>142875</xdr:colOff>
                <xdr:row>16</xdr:row>
                <xdr:rowOff>238125</xdr:rowOff>
              </to>
            </anchor>
          </controlPr>
        </control>
      </mc:Choice>
      <mc:Fallback>
        <control shapeId="8196" r:id="rId4" name="CheckBox3"/>
      </mc:Fallback>
    </mc:AlternateContent>
    <mc:AlternateContent xmlns:mc="http://schemas.openxmlformats.org/markup-compatibility/2006">
      <mc:Choice Requires="x14">
        <control shapeId="8195" r:id="rId6" name="CheckBox2">
          <controlPr defaultSize="0" autoFill="0" autoLine="0" r:id="rId7">
            <anchor moveWithCells="1">
              <from>
                <xdr:col>3</xdr:col>
                <xdr:colOff>1828800</xdr:colOff>
                <xdr:row>16</xdr:row>
                <xdr:rowOff>28575</xdr:rowOff>
              </from>
              <to>
                <xdr:col>4</xdr:col>
                <xdr:colOff>209550</xdr:colOff>
                <xdr:row>16</xdr:row>
                <xdr:rowOff>238125</xdr:rowOff>
              </to>
            </anchor>
          </controlPr>
        </control>
      </mc:Choice>
      <mc:Fallback>
        <control shapeId="8195" r:id="rId6" name="CheckBox2"/>
      </mc:Fallback>
    </mc:AlternateContent>
    <mc:AlternateContent xmlns:mc="http://schemas.openxmlformats.org/markup-compatibility/2006">
      <mc:Choice Requires="x14">
        <control shapeId="8194" r:id="rId8" name="CheckBox1">
          <controlPr defaultSize="0" autoFill="0" autoLine="0" r:id="rId9">
            <anchor moveWithCells="1">
              <from>
                <xdr:col>3</xdr:col>
                <xdr:colOff>809625</xdr:colOff>
                <xdr:row>16</xdr:row>
                <xdr:rowOff>28575</xdr:rowOff>
              </from>
              <to>
                <xdr:col>3</xdr:col>
                <xdr:colOff>1685925</xdr:colOff>
                <xdr:row>16</xdr:row>
                <xdr:rowOff>238125</xdr:rowOff>
              </to>
            </anchor>
          </controlPr>
        </control>
      </mc:Choice>
      <mc:Fallback>
        <control shapeId="8194" r:id="rId8" name="CheckBox1"/>
      </mc:Fallback>
    </mc:AlternateContent>
    <mc:AlternateContent xmlns:mc="http://schemas.openxmlformats.org/markup-compatibility/2006">
      <mc:Choice Requires="x14">
        <control shapeId="8193" r:id="rId10" name="Process">
          <controlPr defaultSize="0" autoFill="0" autoLine="0" r:id="rId11">
            <anchor moveWithCells="1">
              <from>
                <xdr:col>3</xdr:col>
                <xdr:colOff>57150</xdr:colOff>
                <xdr:row>16</xdr:row>
                <xdr:rowOff>28575</xdr:rowOff>
              </from>
              <to>
                <xdr:col>3</xdr:col>
                <xdr:colOff>933450</xdr:colOff>
                <xdr:row>16</xdr:row>
                <xdr:rowOff>238125</xdr:rowOff>
              </to>
            </anchor>
          </controlPr>
        </control>
      </mc:Choice>
      <mc:Fallback>
        <control shapeId="8193"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E68"/>
  <sheetViews>
    <sheetView workbookViewId="0">
      <pane xSplit="2" ySplit="6" topLeftCell="C7" activePane="bottomRight" state="frozen"/>
      <selection pane="topRight" activeCell="C1" sqref="C1"/>
      <selection pane="bottomLeft" activeCell="A7" sqref="A7"/>
      <selection pane="bottomRight" activeCell="E24" sqref="E24"/>
    </sheetView>
  </sheetViews>
  <sheetFormatPr defaultRowHeight="15" x14ac:dyDescent="0.25"/>
  <cols>
    <col min="1" max="1" width="2.5703125" style="40" customWidth="1"/>
    <col min="2" max="2" width="24.42578125" style="40" customWidth="1"/>
    <col min="3" max="3" width="51.85546875" style="40" customWidth="1"/>
    <col min="4" max="51" width="16.5703125" style="40" customWidth="1"/>
    <col min="52" max="52" width="104.85546875" style="40" customWidth="1"/>
    <col min="53" max="16384" width="9.140625" style="40"/>
  </cols>
  <sheetData>
    <row r="1" spans="1:83" s="1" customFormat="1" ht="20.25" x14ac:dyDescent="0.3">
      <c r="A1" s="335" t="s">
        <v>275</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G1" s="12"/>
      <c r="BH1" s="12"/>
      <c r="BI1" s="12"/>
      <c r="BJ1" s="12"/>
      <c r="BK1" s="12"/>
      <c r="BL1" s="12"/>
      <c r="BM1" s="12"/>
      <c r="BN1" s="12"/>
      <c r="BO1" s="12"/>
      <c r="BP1" s="12"/>
      <c r="BQ1" s="12"/>
      <c r="BR1" s="12"/>
      <c r="BS1" s="12"/>
      <c r="BT1" s="12"/>
      <c r="BU1" s="12"/>
      <c r="BV1" s="12"/>
      <c r="BW1" s="12"/>
      <c r="BX1" s="12"/>
      <c r="BY1" s="12"/>
      <c r="BZ1" s="12"/>
      <c r="CA1" s="12"/>
      <c r="CB1" s="12"/>
      <c r="CC1" s="12"/>
      <c r="CD1" s="12"/>
      <c r="CE1" s="12"/>
    </row>
    <row r="2" spans="1:83" s="1" customFormat="1" ht="21" thickBot="1" x14ac:dyDescent="0.35">
      <c r="A2" s="187"/>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G2" s="12"/>
      <c r="BH2" s="12"/>
      <c r="BI2" s="12"/>
      <c r="BJ2" s="12"/>
      <c r="BK2" s="12"/>
      <c r="BL2" s="12"/>
      <c r="BM2" s="12"/>
      <c r="BN2" s="12"/>
      <c r="BO2" s="12"/>
      <c r="BP2" s="12"/>
      <c r="BQ2" s="12"/>
      <c r="BR2" s="12"/>
      <c r="BS2" s="12"/>
      <c r="BT2" s="12"/>
      <c r="BU2" s="12"/>
      <c r="BV2" s="12"/>
      <c r="BW2" s="12"/>
      <c r="BX2" s="12"/>
      <c r="BY2" s="12"/>
      <c r="BZ2" s="12"/>
      <c r="CA2" s="12"/>
      <c r="CB2" s="12"/>
      <c r="CC2" s="12"/>
      <c r="CD2" s="12"/>
      <c r="CE2" s="12"/>
    </row>
    <row r="3" spans="1:83" s="1" customFormat="1" ht="15" customHeight="1" x14ac:dyDescent="0.3">
      <c r="A3" s="187"/>
      <c r="B3" s="336" t="s">
        <v>89</v>
      </c>
      <c r="C3" s="237" t="s">
        <v>276</v>
      </c>
      <c r="D3" s="338" t="s">
        <v>277</v>
      </c>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9" t="s">
        <v>278</v>
      </c>
      <c r="BA3" s="187"/>
      <c r="BB3" s="187"/>
      <c r="BC3" s="187"/>
      <c r="BG3" s="12"/>
      <c r="BH3" s="12"/>
      <c r="BI3" s="12"/>
      <c r="BJ3" s="12"/>
      <c r="BK3" s="12"/>
      <c r="BL3" s="12"/>
      <c r="BM3" s="12"/>
      <c r="BN3" s="12"/>
      <c r="BO3" s="12"/>
      <c r="BP3" s="12"/>
      <c r="BQ3" s="12"/>
      <c r="BR3" s="12"/>
      <c r="BS3" s="12"/>
      <c r="BT3" s="12"/>
      <c r="BU3" s="12"/>
      <c r="BV3" s="12"/>
      <c r="BW3" s="12"/>
      <c r="BX3" s="12"/>
      <c r="BY3" s="12"/>
      <c r="BZ3" s="12"/>
      <c r="CA3" s="12"/>
      <c r="CB3" s="12"/>
      <c r="CC3" s="12"/>
      <c r="CD3" s="12"/>
      <c r="CE3" s="12"/>
    </row>
    <row r="4" spans="1:83" ht="15" customHeight="1" x14ac:dyDescent="0.25">
      <c r="B4" s="337"/>
      <c r="C4" s="238">
        <v>1</v>
      </c>
      <c r="D4" s="261">
        <v>1</v>
      </c>
      <c r="E4" s="261">
        <v>2</v>
      </c>
      <c r="F4" s="261">
        <v>3</v>
      </c>
      <c r="G4" s="261">
        <v>4</v>
      </c>
      <c r="H4" s="261">
        <v>5</v>
      </c>
      <c r="I4" s="261">
        <v>6</v>
      </c>
      <c r="J4" s="261">
        <v>7</v>
      </c>
      <c r="K4" s="261">
        <v>8</v>
      </c>
      <c r="L4" s="261">
        <v>9</v>
      </c>
      <c r="M4" s="261">
        <v>10</v>
      </c>
      <c r="N4" s="261">
        <v>11</v>
      </c>
      <c r="O4" s="261">
        <v>12</v>
      </c>
      <c r="P4" s="261">
        <v>13</v>
      </c>
      <c r="Q4" s="261">
        <v>14</v>
      </c>
      <c r="R4" s="261">
        <v>15</v>
      </c>
      <c r="S4" s="261">
        <v>16</v>
      </c>
      <c r="T4" s="261">
        <v>17</v>
      </c>
      <c r="U4" s="261">
        <v>18</v>
      </c>
      <c r="V4" s="261">
        <v>19</v>
      </c>
      <c r="W4" s="261">
        <v>20</v>
      </c>
      <c r="X4" s="261">
        <v>21</v>
      </c>
      <c r="Y4" s="261">
        <v>22</v>
      </c>
      <c r="Z4" s="261">
        <v>23</v>
      </c>
      <c r="AA4" s="261">
        <v>24</v>
      </c>
      <c r="AB4" s="261">
        <v>25</v>
      </c>
      <c r="AC4" s="261">
        <v>26</v>
      </c>
      <c r="AD4" s="261">
        <v>27</v>
      </c>
      <c r="AE4" s="261">
        <v>28</v>
      </c>
      <c r="AF4" s="261">
        <v>29</v>
      </c>
      <c r="AG4" s="261">
        <v>30</v>
      </c>
      <c r="AH4" s="261">
        <v>31</v>
      </c>
      <c r="AI4" s="261">
        <v>32</v>
      </c>
      <c r="AJ4" s="261">
        <v>33</v>
      </c>
      <c r="AK4" s="261">
        <v>34</v>
      </c>
      <c r="AL4" s="261">
        <v>35</v>
      </c>
      <c r="AM4" s="261">
        <v>36</v>
      </c>
      <c r="AN4" s="261">
        <v>37</v>
      </c>
      <c r="AO4" s="261">
        <v>38</v>
      </c>
      <c r="AP4" s="261">
        <v>39</v>
      </c>
      <c r="AQ4" s="261">
        <v>40</v>
      </c>
      <c r="AR4" s="261">
        <v>41</v>
      </c>
      <c r="AS4" s="261">
        <v>42</v>
      </c>
      <c r="AT4" s="261">
        <v>43</v>
      </c>
      <c r="AU4" s="261">
        <v>44</v>
      </c>
      <c r="AV4" s="261">
        <v>45</v>
      </c>
      <c r="AW4" s="261">
        <v>46</v>
      </c>
      <c r="AX4" s="261">
        <v>47</v>
      </c>
      <c r="AY4" s="261">
        <v>48</v>
      </c>
      <c r="AZ4" s="340"/>
    </row>
    <row r="5" spans="1:83" ht="27.75" customHeight="1" x14ac:dyDescent="0.25">
      <c r="B5" s="337"/>
      <c r="C5" s="239"/>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c r="AZ5" s="340"/>
    </row>
    <row r="6" spans="1:83" ht="64.5" x14ac:dyDescent="0.25">
      <c r="B6" s="337"/>
      <c r="C6" s="240" t="str">
        <f>HLOOKUP($C$4,$D$4:$AY$12,3,FALSE)</f>
        <v>Conventional, Northeast, Plunger, Expected</v>
      </c>
      <c r="D6" s="241" t="s">
        <v>280</v>
      </c>
      <c r="E6" s="241" t="s">
        <v>281</v>
      </c>
      <c r="F6" s="241" t="s">
        <v>282</v>
      </c>
      <c r="G6" s="241" t="s">
        <v>283</v>
      </c>
      <c r="H6" s="241" t="s">
        <v>284</v>
      </c>
      <c r="I6" s="241" t="s">
        <v>285</v>
      </c>
      <c r="J6" s="241" t="s">
        <v>286</v>
      </c>
      <c r="K6" s="241" t="s">
        <v>287</v>
      </c>
      <c r="L6" s="241" t="s">
        <v>288</v>
      </c>
      <c r="M6" s="241" t="s">
        <v>289</v>
      </c>
      <c r="N6" s="241" t="s">
        <v>290</v>
      </c>
      <c r="O6" s="241" t="s">
        <v>291</v>
      </c>
      <c r="P6" s="241" t="s">
        <v>292</v>
      </c>
      <c r="Q6" s="241" t="s">
        <v>293</v>
      </c>
      <c r="R6" s="241" t="s">
        <v>294</v>
      </c>
      <c r="S6" s="241" t="s">
        <v>295</v>
      </c>
      <c r="T6" s="241" t="s">
        <v>296</v>
      </c>
      <c r="U6" s="241" t="s">
        <v>297</v>
      </c>
      <c r="V6" s="241" t="s">
        <v>298</v>
      </c>
      <c r="W6" s="241" t="s">
        <v>299</v>
      </c>
      <c r="X6" s="241" t="s">
        <v>300</v>
      </c>
      <c r="Y6" s="241" t="s">
        <v>301</v>
      </c>
      <c r="Z6" s="241" t="s">
        <v>302</v>
      </c>
      <c r="AA6" s="241" t="s">
        <v>303</v>
      </c>
      <c r="AB6" s="241" t="s">
        <v>304</v>
      </c>
      <c r="AC6" s="241" t="s">
        <v>305</v>
      </c>
      <c r="AD6" s="241" t="s">
        <v>306</v>
      </c>
      <c r="AE6" s="241" t="s">
        <v>410</v>
      </c>
      <c r="AF6" s="241" t="s">
        <v>411</v>
      </c>
      <c r="AG6" s="241" t="s">
        <v>412</v>
      </c>
      <c r="AH6" s="241" t="s">
        <v>307</v>
      </c>
      <c r="AI6" s="241" t="s">
        <v>308</v>
      </c>
      <c r="AJ6" s="241" t="s">
        <v>309</v>
      </c>
      <c r="AK6" s="241" t="s">
        <v>310</v>
      </c>
      <c r="AL6" s="241" t="s">
        <v>311</v>
      </c>
      <c r="AM6" s="241" t="s">
        <v>312</v>
      </c>
      <c r="AN6" s="241" t="s">
        <v>313</v>
      </c>
      <c r="AO6" s="241" t="s">
        <v>314</v>
      </c>
      <c r="AP6" s="241" t="s">
        <v>315</v>
      </c>
      <c r="AQ6" s="241" t="s">
        <v>316</v>
      </c>
      <c r="AR6" s="241" t="s">
        <v>317</v>
      </c>
      <c r="AS6" s="241" t="s">
        <v>318</v>
      </c>
      <c r="AT6" s="241" t="s">
        <v>319</v>
      </c>
      <c r="AU6" s="241" t="s">
        <v>320</v>
      </c>
      <c r="AV6" s="241" t="s">
        <v>321</v>
      </c>
      <c r="AW6" s="241" t="s">
        <v>322</v>
      </c>
      <c r="AX6" s="241" t="s">
        <v>323</v>
      </c>
      <c r="AY6" s="241" t="s">
        <v>324</v>
      </c>
      <c r="AZ6" s="340"/>
    </row>
    <row r="7" spans="1:83" ht="15" customHeight="1" x14ac:dyDescent="0.25">
      <c r="B7" s="245" t="s">
        <v>218</v>
      </c>
      <c r="C7" s="248">
        <f>HLOOKUP($C$4,$D$4:$AY$12,4,FALSE)</f>
        <v>38.638140050277848</v>
      </c>
      <c r="D7" s="225">
        <f>Calculations!B66</f>
        <v>38.638140050277848</v>
      </c>
      <c r="E7" s="225">
        <f>Calculations!C66</f>
        <v>38.545454545454547</v>
      </c>
      <c r="F7" s="246">
        <f>Calculations!D66</f>
        <v>38.688073394495412</v>
      </c>
      <c r="G7" s="213">
        <f>Calculations!B78</f>
        <v>37.781692446190362</v>
      </c>
      <c r="H7" s="213">
        <f>Calculations!C78</f>
        <v>22.815789473684209</v>
      </c>
      <c r="I7" s="213">
        <f>Calculations!D78</f>
        <v>43.305676855895193</v>
      </c>
      <c r="J7" s="213">
        <f>Calculations!E66</f>
        <v>2915.0538996368605</v>
      </c>
      <c r="K7" s="213">
        <f>Calculations!F66</f>
        <v>11.5</v>
      </c>
      <c r="L7" s="213">
        <f>Calculations!G66</f>
        <v>2987.268292682927</v>
      </c>
      <c r="M7" s="213">
        <f>Calculations!E78</f>
        <v>63.177619576486805</v>
      </c>
      <c r="N7" s="213">
        <f>Calculations!F78</f>
        <v>1</v>
      </c>
      <c r="O7" s="213">
        <f>Calculations!G78</f>
        <v>64.315789473684205</v>
      </c>
      <c r="P7" s="213">
        <f>Calculations!H78</f>
        <v>4</v>
      </c>
      <c r="Q7" s="213">
        <f>Calculations!I78</f>
        <v>4</v>
      </c>
      <c r="R7" s="213">
        <f>Calculations!J78</f>
        <v>4</v>
      </c>
      <c r="S7" s="213">
        <f>Calculations!K78</f>
        <v>10.949367088607595</v>
      </c>
      <c r="T7" s="213">
        <f>Calculations!L78</f>
        <v>10</v>
      </c>
      <c r="U7" s="213">
        <f>Calculations!M78</f>
        <v>12</v>
      </c>
      <c r="V7" s="213">
        <f>Calculations!B89</f>
        <v>229.22256361774205</v>
      </c>
      <c r="W7" s="213">
        <f>Calculations!C89</f>
        <v>38.799999999999997</v>
      </c>
      <c r="X7" s="213">
        <f>Calculations!D89</f>
        <v>730</v>
      </c>
      <c r="Y7" s="213">
        <f>Calculations!B100</f>
        <v>82.255192878338278</v>
      </c>
      <c r="Z7" s="213">
        <f>Calculations!C100</f>
        <v>82.255192878338278</v>
      </c>
      <c r="AA7" s="213">
        <f>Calculations!D100</f>
        <v>82.255192878338278</v>
      </c>
      <c r="AB7" s="213">
        <f>Calculations!E89</f>
        <v>480.25135244345944</v>
      </c>
      <c r="AC7" s="213">
        <f>Calculations!F89</f>
        <v>2.4</v>
      </c>
      <c r="AD7" s="213">
        <f>Calculations!G89</f>
        <v>3244.625</v>
      </c>
      <c r="AE7" s="213">
        <f>Calculations!E100</f>
        <v>3.7743038875306931</v>
      </c>
      <c r="AF7" s="213">
        <f>Calculations!F100</f>
        <v>2.2598870056497176</v>
      </c>
      <c r="AG7" s="213">
        <f>Calculations!G100</f>
        <v>12</v>
      </c>
      <c r="AH7" s="213">
        <f>Calculations!H89</f>
        <v>1.368421052631579</v>
      </c>
      <c r="AI7" s="213">
        <f>Calculations!I89</f>
        <v>1</v>
      </c>
      <c r="AJ7" s="213">
        <f>Calculations!J89</f>
        <v>1.3888888888888888</v>
      </c>
      <c r="AK7" s="213">
        <f>Calculations!H100</f>
        <v>0.96846917862210313</v>
      </c>
      <c r="AL7" s="213">
        <f>Calculations!I100</f>
        <v>0.33333333333333331</v>
      </c>
      <c r="AM7" s="213">
        <f>Calculations!J100</f>
        <v>1</v>
      </c>
      <c r="AN7" s="213">
        <f>Calculations!K89</f>
        <v>16.179476527875252</v>
      </c>
      <c r="AO7" s="213">
        <f>Calculations!L89</f>
        <v>2.2360869565217389</v>
      </c>
      <c r="AP7" s="213">
        <f>Calculations!M89</f>
        <v>1152</v>
      </c>
      <c r="AQ7" s="213">
        <f>Calculations!K100</f>
        <v>68.14493455858738</v>
      </c>
      <c r="AR7" s="213">
        <f>Calculations!L100</f>
        <v>2</v>
      </c>
      <c r="AS7" s="213">
        <f>Calculations!M100</f>
        <v>378</v>
      </c>
      <c r="AT7" s="213">
        <f>Calculations!N89</f>
        <v>2.361939133150571</v>
      </c>
      <c r="AU7" s="213">
        <f>Calculations!O89</f>
        <v>1</v>
      </c>
      <c r="AV7" s="213">
        <f>Calculations!P89</f>
        <v>52</v>
      </c>
      <c r="AW7" s="213">
        <f>Calculations!N100</f>
        <v>1.5644175193006993</v>
      </c>
      <c r="AX7" s="213">
        <f>Calculations!O100</f>
        <v>0.6</v>
      </c>
      <c r="AY7" s="213">
        <f>Calculations!P100</f>
        <v>52</v>
      </c>
      <c r="AZ7" s="215" t="s">
        <v>330</v>
      </c>
    </row>
    <row r="8" spans="1:83" ht="15" customHeight="1" x14ac:dyDescent="0.25">
      <c r="B8" s="245" t="s">
        <v>340</v>
      </c>
      <c r="C8" s="249">
        <f>HLOOKUP($C$4,$D$4:$AY$12,5,FALSE)</f>
        <v>2.2437059655332097</v>
      </c>
      <c r="D8" s="225">
        <f>Calculations!B67</f>
        <v>2.2437059655332097</v>
      </c>
      <c r="E8" s="225">
        <f>Calculations!C67</f>
        <v>2</v>
      </c>
      <c r="F8" s="246">
        <f>Calculations!D67</f>
        <v>2.375</v>
      </c>
      <c r="G8" s="213">
        <f>Calculations!B79</f>
        <v>4.634797822620067</v>
      </c>
      <c r="H8" s="213">
        <f>Calculations!C79</f>
        <v>4.5</v>
      </c>
      <c r="I8" s="213">
        <f>Calculations!D79</f>
        <v>5</v>
      </c>
      <c r="J8" s="213">
        <f>Calculations!E67</f>
        <v>2.0030733763314794</v>
      </c>
      <c r="K8" s="213">
        <f>Calculations!F67</f>
        <v>1.9950000000000001</v>
      </c>
      <c r="L8" s="213">
        <f>Calculations!G67</f>
        <v>2.375</v>
      </c>
      <c r="M8" s="213">
        <f>Calculations!E79</f>
        <v>4.0149201490264357</v>
      </c>
      <c r="N8" s="213">
        <f>Calculations!F79</f>
        <v>4</v>
      </c>
      <c r="O8" s="213">
        <f>Calculations!G79</f>
        <v>4.83</v>
      </c>
      <c r="P8" s="213">
        <f>Calculations!H79</f>
        <v>5.5</v>
      </c>
      <c r="Q8" s="213">
        <f>Calculations!I79</f>
        <v>5.5</v>
      </c>
      <c r="R8" s="213">
        <f>Calculations!J79</f>
        <v>5.5</v>
      </c>
      <c r="S8" s="213">
        <f>Calculations!K79</f>
        <v>4.5281645569620252</v>
      </c>
      <c r="T8" s="213">
        <f>Calculations!L79</f>
        <v>3.65</v>
      </c>
      <c r="U8" s="213">
        <f>Calculations!M79</f>
        <v>5.5</v>
      </c>
      <c r="V8" s="213">
        <f>Calculations!B90</f>
        <v>2.375</v>
      </c>
      <c r="W8" s="213">
        <f>Calculations!C90</f>
        <v>2.375</v>
      </c>
      <c r="X8" s="213">
        <f>Calculations!D90</f>
        <v>2.375</v>
      </c>
      <c r="Y8" s="213">
        <f>Calculations!B101</f>
        <v>4.5</v>
      </c>
      <c r="Z8" s="213">
        <f>Calculations!C101</f>
        <v>4.5</v>
      </c>
      <c r="AA8" s="213">
        <f>Calculations!D101</f>
        <v>4.5</v>
      </c>
      <c r="AB8" s="213">
        <f>Calculations!E90</f>
        <v>3.6215930547222261</v>
      </c>
      <c r="AC8" s="213">
        <f>Calculations!F90</f>
        <v>2.375</v>
      </c>
      <c r="AD8" s="213">
        <f>Calculations!G90</f>
        <v>4.1100000000000003</v>
      </c>
      <c r="AE8" s="213">
        <f>Calculations!E101</f>
        <v>5.187665609235494</v>
      </c>
      <c r="AF8" s="213">
        <f>Calculations!F101</f>
        <v>4.92</v>
      </c>
      <c r="AG8" s="213">
        <f>Calculations!G101</f>
        <v>5.5</v>
      </c>
      <c r="AH8" s="213">
        <f>Calculations!H90</f>
        <v>2.0150000000000001</v>
      </c>
      <c r="AI8" s="213">
        <f>Calculations!I90</f>
        <v>1.9950000000000001</v>
      </c>
      <c r="AJ8" s="213">
        <f>Calculations!J90</f>
        <v>2.375</v>
      </c>
      <c r="AK8" s="213">
        <f>Calculations!H101</f>
        <v>9.6180566503757419</v>
      </c>
      <c r="AL8" s="213">
        <f>Calculations!I101</f>
        <v>5</v>
      </c>
      <c r="AM8" s="213">
        <f>Calculations!J101</f>
        <v>9.625</v>
      </c>
      <c r="AN8" s="213">
        <f>Calculations!K90</f>
        <v>2.2951640501071937</v>
      </c>
      <c r="AO8" s="213">
        <f>Calculations!L90</f>
        <v>1.92</v>
      </c>
      <c r="AP8" s="213">
        <f>Calculations!M90</f>
        <v>2.375</v>
      </c>
      <c r="AQ8" s="213">
        <f>Calculations!K101</f>
        <v>4.1113335342870183</v>
      </c>
      <c r="AR8" s="213">
        <f>Calculations!L101</f>
        <v>2.375</v>
      </c>
      <c r="AS8" s="213">
        <f>Calculations!M101</f>
        <v>4.7</v>
      </c>
      <c r="AT8" s="213">
        <f>Calculations!N90</f>
        <v>2.375</v>
      </c>
      <c r="AU8" s="213">
        <f>Calculations!O90</f>
        <v>2.375</v>
      </c>
      <c r="AV8" s="213">
        <f>Calculations!P90</f>
        <v>2.375</v>
      </c>
      <c r="AW8" s="213">
        <f>Calculations!N101</f>
        <v>9.0417744304146606</v>
      </c>
      <c r="AX8" s="213">
        <f>Calculations!O101</f>
        <v>4.5</v>
      </c>
      <c r="AY8" s="213">
        <f>Calculations!P101</f>
        <v>10.75</v>
      </c>
      <c r="AZ8" s="214" t="s">
        <v>327</v>
      </c>
    </row>
    <row r="9" spans="1:83" ht="15" customHeight="1" x14ac:dyDescent="0.25">
      <c r="B9" s="245" t="s">
        <v>341</v>
      </c>
      <c r="C9" s="249">
        <f>HLOOKUP($C$4,$D$4:$AY$12,6,FALSE)</f>
        <v>3422.4414279571315</v>
      </c>
      <c r="D9" s="225">
        <f>Calculations!B68</f>
        <v>3422.4414279571315</v>
      </c>
      <c r="E9" s="225">
        <f>Calculations!C68</f>
        <v>3375</v>
      </c>
      <c r="F9" s="246">
        <f>Calculations!D68</f>
        <v>3448</v>
      </c>
      <c r="G9" s="213">
        <f>Calculations!B80</f>
        <v>3428.3195178974706</v>
      </c>
      <c r="H9" s="213">
        <f>Calculations!C80</f>
        <v>3375</v>
      </c>
      <c r="I9" s="213">
        <f>Calculations!D80</f>
        <v>3448</v>
      </c>
      <c r="J9" s="213">
        <f>Calculations!E68</f>
        <v>4402.3276760286508</v>
      </c>
      <c r="K9" s="213">
        <f>Calculations!F68</f>
        <v>4269</v>
      </c>
      <c r="L9" s="213">
        <f>Calculations!G68</f>
        <v>9500</v>
      </c>
      <c r="M9" s="213">
        <f>Calculations!E80</f>
        <v>4318.6858938663499</v>
      </c>
      <c r="N9" s="213">
        <f>Calculations!F80</f>
        <v>4269</v>
      </c>
      <c r="O9" s="213">
        <f>Calculations!G80</f>
        <v>7033</v>
      </c>
      <c r="P9" s="213">
        <f>Calculations!H80</f>
        <v>8000</v>
      </c>
      <c r="Q9" s="213">
        <f>Calculations!I80</f>
        <v>8000</v>
      </c>
      <c r="R9" s="213">
        <f>Calculations!J80</f>
        <v>8000</v>
      </c>
      <c r="S9" s="213">
        <f>Calculations!K80</f>
        <v>14903.303797468354</v>
      </c>
      <c r="T9" s="213">
        <f>Calculations!L80</f>
        <v>10000</v>
      </c>
      <c r="U9" s="213">
        <f>Calculations!M80</f>
        <v>19334</v>
      </c>
      <c r="V9" s="213">
        <f>Calculations!B91</f>
        <v>5092.6699755770887</v>
      </c>
      <c r="W9" s="213">
        <f>Calculations!C91</f>
        <v>2500</v>
      </c>
      <c r="X9" s="213">
        <f>Calculations!D91</f>
        <v>7000</v>
      </c>
      <c r="Y9" s="213">
        <f>Calculations!B102</f>
        <v>4845</v>
      </c>
      <c r="Z9" s="213">
        <f>Calculations!C102</f>
        <v>4845</v>
      </c>
      <c r="AA9" s="213">
        <f>Calculations!D102</f>
        <v>4845</v>
      </c>
      <c r="AB9" s="213">
        <f>Calculations!E91</f>
        <v>7389.2641581054786</v>
      </c>
      <c r="AC9" s="213">
        <f>Calculations!F91</f>
        <v>3911</v>
      </c>
      <c r="AD9" s="213">
        <f>Calculations!G91</f>
        <v>10293</v>
      </c>
      <c r="AE9" s="213">
        <f>Calculations!E102</f>
        <v>7332.5600515698306</v>
      </c>
      <c r="AF9" s="213">
        <f>Calculations!F102</f>
        <v>3911</v>
      </c>
      <c r="AG9" s="213">
        <f>Calculations!G102</f>
        <v>11000</v>
      </c>
      <c r="AH9" s="213">
        <f>Calculations!H91</f>
        <v>8623.6842105263149</v>
      </c>
      <c r="AI9" s="213">
        <f>Calculations!I91</f>
        <v>6800</v>
      </c>
      <c r="AJ9" s="213">
        <f>Calculations!J91</f>
        <v>8725</v>
      </c>
      <c r="AK9" s="213">
        <f>Calculations!H102</f>
        <v>8733.091597036102</v>
      </c>
      <c r="AL9" s="213">
        <f>Calculations!I102</f>
        <v>8000</v>
      </c>
      <c r="AM9" s="213">
        <f>Calculations!J102</f>
        <v>15000</v>
      </c>
      <c r="AN9" s="213">
        <f>Calculations!K91</f>
        <v>10432.770917253911</v>
      </c>
      <c r="AO9" s="213">
        <f>Calculations!L91</f>
        <v>7400</v>
      </c>
      <c r="AP9" s="213">
        <f>Calculations!M91</f>
        <v>11164</v>
      </c>
      <c r="AQ9" s="213">
        <f>Calculations!K102</f>
        <v>11109.768484452381</v>
      </c>
      <c r="AR9" s="213">
        <f>Calculations!L102</f>
        <v>10844</v>
      </c>
      <c r="AS9" s="213">
        <f>Calculations!M102</f>
        <v>11597</v>
      </c>
      <c r="AT9" s="213">
        <f>Calculations!N91</f>
        <v>13331.743883818579</v>
      </c>
      <c r="AU9" s="213">
        <f>Calculations!O91</f>
        <v>8500</v>
      </c>
      <c r="AV9" s="213">
        <f>Calculations!P91</f>
        <v>16000</v>
      </c>
      <c r="AW9" s="213">
        <f>Calculations!N102</f>
        <v>13395.452114185622</v>
      </c>
      <c r="AX9" s="213">
        <f>Calculations!O102</f>
        <v>6000</v>
      </c>
      <c r="AY9" s="213">
        <f>Calculations!P102</f>
        <v>16000</v>
      </c>
      <c r="AZ9" s="214" t="s">
        <v>325</v>
      </c>
    </row>
    <row r="10" spans="1:83" ht="15" customHeight="1" x14ac:dyDescent="0.25">
      <c r="B10" s="245" t="s">
        <v>342</v>
      </c>
      <c r="C10" s="250">
        <f>HLOOKUP($C$4,$D$4:$AY$12,7,FALSE)</f>
        <v>76.954109883567071</v>
      </c>
      <c r="D10" s="225">
        <f>Calculations!B69</f>
        <v>76.954109883567071</v>
      </c>
      <c r="E10" s="225">
        <f>Calculations!C69</f>
        <v>64.7</v>
      </c>
      <c r="F10" s="246">
        <f>Calculations!D69</f>
        <v>99.7</v>
      </c>
      <c r="G10" s="213">
        <f>Calculations!B81</f>
        <v>74.135847583404683</v>
      </c>
      <c r="H10" s="213">
        <f>Calculations!C81</f>
        <v>64.7</v>
      </c>
      <c r="I10" s="213">
        <f>Calculations!D81</f>
        <v>99.7</v>
      </c>
      <c r="J10" s="213">
        <f>Calculations!E69</f>
        <v>84.492890932482965</v>
      </c>
      <c r="K10" s="213">
        <f>Calculations!F69</f>
        <v>40.200000000000003</v>
      </c>
      <c r="L10" s="213">
        <f>Calculations!G69</f>
        <v>514.70000000000005</v>
      </c>
      <c r="M10" s="213">
        <f>Calculations!E81</f>
        <v>74.865444264297338</v>
      </c>
      <c r="N10" s="213">
        <f>Calculations!F81</f>
        <v>40.200000000000003</v>
      </c>
      <c r="O10" s="213">
        <f>Calculations!G81</f>
        <v>75.5</v>
      </c>
      <c r="P10" s="213">
        <f>Calculations!H81</f>
        <v>114.7</v>
      </c>
      <c r="Q10" s="213">
        <f>Calculations!I81</f>
        <v>114.7</v>
      </c>
      <c r="R10" s="213">
        <f>Calculations!J81</f>
        <v>114.7</v>
      </c>
      <c r="S10" s="213">
        <f>Calculations!K81</f>
        <v>163.32025316455696</v>
      </c>
      <c r="T10" s="213">
        <f>Calculations!L81</f>
        <v>79.900000000000006</v>
      </c>
      <c r="U10" s="213">
        <f>Calculations!M81</f>
        <v>238.7</v>
      </c>
      <c r="V10" s="213">
        <f>Calculations!B92</f>
        <v>147.92089340581421</v>
      </c>
      <c r="W10" s="213">
        <f>Calculations!C92</f>
        <v>136.29999999999998</v>
      </c>
      <c r="X10" s="213">
        <f>Calculations!D92</f>
        <v>214.7</v>
      </c>
      <c r="Y10" s="213">
        <f>Calculations!B103</f>
        <v>136.29999999999998</v>
      </c>
      <c r="Z10" s="213">
        <f>Calculations!C103</f>
        <v>136.29999999999998</v>
      </c>
      <c r="AA10" s="213">
        <f>Calculations!D103</f>
        <v>136.29999999999998</v>
      </c>
      <c r="AB10" s="213">
        <f>Calculations!E92</f>
        <v>107.21504316308913</v>
      </c>
      <c r="AC10" s="213">
        <f>Calculations!F92</f>
        <v>89.39</v>
      </c>
      <c r="AD10" s="213">
        <f>Calculations!G92</f>
        <v>113.45</v>
      </c>
      <c r="AE10" s="213">
        <f>Calculations!E103</f>
        <v>120.55524733725278</v>
      </c>
      <c r="AF10" s="213">
        <f>Calculations!F103</f>
        <v>94.7</v>
      </c>
      <c r="AG10" s="213">
        <f>Calculations!G103</f>
        <v>214.7</v>
      </c>
      <c r="AH10" s="213">
        <f>Calculations!H92</f>
        <v>509.33157894736843</v>
      </c>
      <c r="AI10" s="213">
        <f>Calculations!I92</f>
        <v>124.7</v>
      </c>
      <c r="AJ10" s="213">
        <f>Calculations!J92</f>
        <v>530.70000000000005</v>
      </c>
      <c r="AK10" s="213">
        <f>Calculations!H103</f>
        <v>530.18688843344376</v>
      </c>
      <c r="AL10" s="213">
        <f>Calculations!I103</f>
        <v>64.7</v>
      </c>
      <c r="AM10" s="213">
        <f>Calculations!J103</f>
        <v>530.70000000000005</v>
      </c>
      <c r="AN10" s="213">
        <f>Calculations!K92</f>
        <v>248.77892940577024</v>
      </c>
      <c r="AO10" s="213">
        <f>Calculations!L92</f>
        <v>164.7</v>
      </c>
      <c r="AP10" s="213">
        <f>Calculations!M92</f>
        <v>304.7</v>
      </c>
      <c r="AQ10" s="213">
        <f>Calculations!K103</f>
        <v>260.53587530354338</v>
      </c>
      <c r="AR10" s="213">
        <f>Calculations!L103</f>
        <v>212.7</v>
      </c>
      <c r="AS10" s="213">
        <f>Calculations!M103</f>
        <v>490.7</v>
      </c>
      <c r="AT10" s="213">
        <f>Calculations!N92</f>
        <v>483.80929312558561</v>
      </c>
      <c r="AU10" s="213">
        <f>Calculations!O92</f>
        <v>29.7</v>
      </c>
      <c r="AV10" s="213">
        <f>Calculations!P92</f>
        <v>554.70000000000005</v>
      </c>
      <c r="AW10" s="213">
        <f>Calculations!N103</f>
        <v>521.41173187331094</v>
      </c>
      <c r="AX10" s="213">
        <f>Calculations!O103</f>
        <v>29.7</v>
      </c>
      <c r="AY10" s="213">
        <f>Calculations!P103</f>
        <v>554.70000000000005</v>
      </c>
      <c r="AZ10" s="214" t="s">
        <v>326</v>
      </c>
    </row>
    <row r="11" spans="1:83" ht="15" customHeight="1" x14ac:dyDescent="0.25">
      <c r="B11" s="245" t="s">
        <v>350</v>
      </c>
      <c r="C11" s="250">
        <f>HLOOKUP($C$4,$D$4:$AY$12,8,FALSE)</f>
        <v>382.40249707815121</v>
      </c>
      <c r="D11" s="225">
        <f>Calculations!B70</f>
        <v>382.40249707815121</v>
      </c>
      <c r="E11" s="225">
        <f>Calculations!C70</f>
        <v>300.41666666666669</v>
      </c>
      <c r="F11" s="246">
        <f>Calculations!D70</f>
        <v>534.58333333333337</v>
      </c>
      <c r="G11" s="213">
        <f>Calculations!B82</f>
        <v>363.54698026039796</v>
      </c>
      <c r="H11" s="213">
        <f>Calculations!C82</f>
        <v>300.41666666666669</v>
      </c>
      <c r="I11" s="213">
        <f>Calculations!D82</f>
        <v>534.58333333333337</v>
      </c>
      <c r="J11" s="213">
        <f>Calculations!E70</f>
        <v>3443.6685353292664</v>
      </c>
      <c r="K11" s="213">
        <f>Calculations!F70</f>
        <v>1250</v>
      </c>
      <c r="L11" s="213">
        <f>Calculations!G70</f>
        <v>3500</v>
      </c>
      <c r="M11" s="213">
        <f>Calculations!E82</f>
        <v>3480.8479813952817</v>
      </c>
      <c r="N11" s="213">
        <f>Calculations!F82</f>
        <v>2434.5833333333335</v>
      </c>
      <c r="O11" s="213">
        <f>Calculations!G82</f>
        <v>3500</v>
      </c>
      <c r="P11" s="213">
        <f>Calculations!H82</f>
        <v>4166.666666666667</v>
      </c>
      <c r="Q11" s="213">
        <f>Calculations!I82</f>
        <v>4166.666666666667</v>
      </c>
      <c r="R11" s="213">
        <f>Calculations!J82</f>
        <v>4166.666666666667</v>
      </c>
      <c r="S11" s="213">
        <f>Calculations!K82</f>
        <v>20467.299578059072</v>
      </c>
      <c r="T11" s="213">
        <f>Calculations!L82</f>
        <v>12500</v>
      </c>
      <c r="U11" s="213">
        <f>Calculations!M82</f>
        <v>27666.666666666668</v>
      </c>
      <c r="V11" s="213">
        <f>Calculations!B93</f>
        <v>7232.6708947188754</v>
      </c>
      <c r="W11" s="213">
        <f>Calculations!C93</f>
        <v>625</v>
      </c>
      <c r="X11" s="213">
        <f>Calculations!D93</f>
        <v>26166.666666666668</v>
      </c>
      <c r="Y11" s="213">
        <f>Calculations!B104</f>
        <v>1083.3333333333333</v>
      </c>
      <c r="Z11" s="213">
        <f>Calculations!C104</f>
        <v>1083.3333333333333</v>
      </c>
      <c r="AA11" s="213">
        <f>Calculations!D104</f>
        <v>1083.3333333333333</v>
      </c>
      <c r="AB11" s="213">
        <f>Calculations!E93</f>
        <v>29645.64685450264</v>
      </c>
      <c r="AC11" s="213">
        <f>Calculations!F93</f>
        <v>10416.666666666666</v>
      </c>
      <c r="AD11" s="213">
        <f>Calculations!G93</f>
        <v>36458.333333333336</v>
      </c>
      <c r="AE11" s="213">
        <f>Calculations!E104</f>
        <v>26507.794988525184</v>
      </c>
      <c r="AF11" s="213">
        <f>Calculations!F104</f>
        <v>4166.666666666667</v>
      </c>
      <c r="AG11" s="213">
        <f>Calculations!G104</f>
        <v>36458.333333333336</v>
      </c>
      <c r="AH11" s="213">
        <f>Calculations!H93</f>
        <v>59265.350877192985</v>
      </c>
      <c r="AI11" s="213">
        <f>Calculations!I93</f>
        <v>1041.6666666666667</v>
      </c>
      <c r="AJ11" s="213">
        <f>Calculations!J93</f>
        <v>62500</v>
      </c>
      <c r="AK11" s="213">
        <f>Calculations!H104</f>
        <v>62413.066897892691</v>
      </c>
      <c r="AL11" s="213">
        <f>Calculations!I104</f>
        <v>500</v>
      </c>
      <c r="AM11" s="213">
        <f>Calculations!J104</f>
        <v>62500</v>
      </c>
      <c r="AN11" s="213">
        <f>Calculations!K93</f>
        <v>13225.032526734412</v>
      </c>
      <c r="AO11" s="213">
        <f>Calculations!L93</f>
        <v>1916.6666666666667</v>
      </c>
      <c r="AP11" s="213">
        <f>Calculations!M93</f>
        <v>18916.666666666668</v>
      </c>
      <c r="AQ11" s="213">
        <f>Calculations!K104</f>
        <v>5632.0436097667252</v>
      </c>
      <c r="AR11" s="213">
        <f>Calculations!L104</f>
        <v>1730.8333333333333</v>
      </c>
      <c r="AS11" s="213">
        <f>Calculations!M104</f>
        <v>18041.666666666668</v>
      </c>
      <c r="AT11" s="213">
        <f>Calculations!N93</f>
        <v>257910.4781899573</v>
      </c>
      <c r="AU11" s="213">
        <f>Calculations!O93</f>
        <v>3458.3333333333335</v>
      </c>
      <c r="AV11" s="213">
        <f>Calculations!P93</f>
        <v>354166.66666666669</v>
      </c>
      <c r="AW11" s="213">
        <f>Calculations!N104</f>
        <v>279991.72618370765</v>
      </c>
      <c r="AX11" s="213">
        <f>Calculations!O104</f>
        <v>1041.6666666666667</v>
      </c>
      <c r="AY11" s="213">
        <f>Calculations!P104</f>
        <v>354166.66666666669</v>
      </c>
      <c r="AZ11" s="214" t="s">
        <v>328</v>
      </c>
    </row>
    <row r="12" spans="1:83" ht="15" customHeight="1" x14ac:dyDescent="0.25">
      <c r="B12" s="245" t="s">
        <v>343</v>
      </c>
      <c r="C12" s="250">
        <f>HLOOKUP($C$4,$D$4:$AY$12,9,FALSE)</f>
        <v>0.54508219767134158</v>
      </c>
      <c r="D12" s="225">
        <f>Calculations!B71</f>
        <v>0.54508219767134158</v>
      </c>
      <c r="E12" s="225">
        <f>Calculations!C71</f>
        <v>0.3</v>
      </c>
      <c r="F12" s="225">
        <f>Calculations!D71</f>
        <v>1</v>
      </c>
      <c r="G12" s="225">
        <f>Calculations!B83</f>
        <v>1.7304043547598669</v>
      </c>
      <c r="H12" s="225">
        <f>Calculations!C83</f>
        <v>1</v>
      </c>
      <c r="I12" s="225">
        <f>Calculations!D83</f>
        <v>2</v>
      </c>
      <c r="J12" s="225">
        <f>Calculations!E71</f>
        <v>7.28984151185878E-2</v>
      </c>
      <c r="K12" s="225">
        <f>Calculations!F71</f>
        <v>6.7000000000000004E-2</v>
      </c>
      <c r="L12" s="225">
        <f>Calculations!G71</f>
        <v>0.75</v>
      </c>
      <c r="M12" s="225">
        <f>Calculations!E83</f>
        <v>4.8655124091274073</v>
      </c>
      <c r="N12" s="225">
        <f>Calculations!F83</f>
        <v>0.25</v>
      </c>
      <c r="O12" s="225">
        <f>Calculations!G83</f>
        <v>4.95</v>
      </c>
      <c r="P12" s="225">
        <f>Calculations!H83</f>
        <v>1</v>
      </c>
      <c r="Q12" s="225">
        <f>Calculations!I83</f>
        <v>1</v>
      </c>
      <c r="R12" s="225">
        <f>Calculations!J83</f>
        <v>1</v>
      </c>
      <c r="S12" s="225">
        <f>Calculations!K83</f>
        <v>1.7879746835443038</v>
      </c>
      <c r="T12" s="225">
        <f>Calculations!L83</f>
        <v>1</v>
      </c>
      <c r="U12" s="225">
        <f>Calculations!M83</f>
        <v>2.5</v>
      </c>
      <c r="V12" s="225">
        <f>Calculations!B94</f>
        <v>0.17025273772945718</v>
      </c>
      <c r="W12" s="225">
        <f>Calculations!C94</f>
        <v>0.05</v>
      </c>
      <c r="X12" s="225">
        <f>Calculations!D94</f>
        <v>0.221</v>
      </c>
      <c r="Y12" s="225">
        <f>Calculations!B105</f>
        <v>1.36</v>
      </c>
      <c r="Z12" s="225">
        <f>Calculations!C105</f>
        <v>1.36</v>
      </c>
      <c r="AA12" s="225">
        <f>Calculations!D105</f>
        <v>1.36</v>
      </c>
      <c r="AB12" s="225">
        <f>Calculations!E94</f>
        <v>1.973027997844907</v>
      </c>
      <c r="AC12" s="225">
        <f>Calculations!F94</f>
        <v>8.3299999999999999E-2</v>
      </c>
      <c r="AD12" s="225">
        <f>Calculations!G94</f>
        <v>2.99</v>
      </c>
      <c r="AE12" s="225">
        <f>Calculations!E105</f>
        <v>1.8931904285538514</v>
      </c>
      <c r="AF12" s="225">
        <f>Calculations!F105</f>
        <v>0.5</v>
      </c>
      <c r="AG12" s="225">
        <f>Calculations!G105</f>
        <v>2.5</v>
      </c>
      <c r="AH12" s="225">
        <f>Calculations!H94</f>
        <v>0.48421052631578948</v>
      </c>
      <c r="AI12" s="225">
        <f>Calculations!I94</f>
        <v>0.2</v>
      </c>
      <c r="AJ12" s="225">
        <f>Calculations!J94</f>
        <v>0.5</v>
      </c>
      <c r="AK12" s="225">
        <f>Calculations!H105</f>
        <v>1.0073440538126017</v>
      </c>
      <c r="AL12" s="225">
        <f>Calculations!I105</f>
        <v>0.5</v>
      </c>
      <c r="AM12" s="225">
        <f>Calculations!J105</f>
        <v>6.67</v>
      </c>
      <c r="AN12" s="225">
        <f>Calculations!K94</f>
        <v>1.5323111510618455</v>
      </c>
      <c r="AO12" s="225">
        <f>Calculations!L94</f>
        <v>0.40699999999999997</v>
      </c>
      <c r="AP12" s="225">
        <f>Calculations!M94</f>
        <v>2.1</v>
      </c>
      <c r="AQ12" s="225">
        <f>Calculations!K105</f>
        <v>1.7686346042245349</v>
      </c>
      <c r="AR12" s="225">
        <f>Calculations!L105</f>
        <v>0.75</v>
      </c>
      <c r="AS12" s="225">
        <f>Calculations!M105</f>
        <v>3.18</v>
      </c>
      <c r="AT12" s="225">
        <f>Calculations!N94</f>
        <v>0.67222212582850394</v>
      </c>
      <c r="AU12" s="225">
        <f>Calculations!O94</f>
        <v>0.3</v>
      </c>
      <c r="AV12" s="225">
        <f>Calculations!P94</f>
        <v>2</v>
      </c>
      <c r="AW12" s="225">
        <f>Calculations!N105</f>
        <v>1.3579469161221018</v>
      </c>
      <c r="AX12" s="225">
        <f>Calculations!O105</f>
        <v>0.6875</v>
      </c>
      <c r="AY12" s="225">
        <f>Calculations!P105</f>
        <v>5.3</v>
      </c>
      <c r="AZ12" s="291" t="s">
        <v>329</v>
      </c>
    </row>
    <row r="13" spans="1:83" ht="15" customHeight="1" thickBot="1" x14ac:dyDescent="0.3">
      <c r="B13" s="289" t="s">
        <v>355</v>
      </c>
      <c r="C13" s="290">
        <f>HLOOKUP($C$4,$D$4:$AY$13,10,FALSE)</f>
        <v>1</v>
      </c>
      <c r="D13" s="251">
        <v>1</v>
      </c>
      <c r="E13" s="251">
        <v>1</v>
      </c>
      <c r="F13" s="247">
        <v>1</v>
      </c>
      <c r="G13" s="216">
        <v>0</v>
      </c>
      <c r="H13" s="216">
        <v>0</v>
      </c>
      <c r="I13" s="216">
        <v>0</v>
      </c>
      <c r="J13" s="216">
        <v>1</v>
      </c>
      <c r="K13" s="216">
        <v>1</v>
      </c>
      <c r="L13" s="216">
        <v>1</v>
      </c>
      <c r="M13" s="216">
        <v>0</v>
      </c>
      <c r="N13" s="216">
        <v>0</v>
      </c>
      <c r="O13" s="216">
        <v>0</v>
      </c>
      <c r="P13" s="216">
        <v>0</v>
      </c>
      <c r="Q13" s="216">
        <v>0</v>
      </c>
      <c r="R13" s="216">
        <v>0</v>
      </c>
      <c r="S13" s="216">
        <v>0</v>
      </c>
      <c r="T13" s="216">
        <v>0</v>
      </c>
      <c r="U13" s="216">
        <v>0</v>
      </c>
      <c r="V13" s="216">
        <v>1</v>
      </c>
      <c r="W13" s="216">
        <v>1</v>
      </c>
      <c r="X13" s="216">
        <v>1</v>
      </c>
      <c r="Y13" s="216">
        <v>0</v>
      </c>
      <c r="Z13" s="216">
        <v>0</v>
      </c>
      <c r="AA13" s="216">
        <v>0</v>
      </c>
      <c r="AB13" s="216">
        <v>1</v>
      </c>
      <c r="AC13" s="216">
        <v>1</v>
      </c>
      <c r="AD13" s="216">
        <v>1</v>
      </c>
      <c r="AE13" s="216">
        <v>0</v>
      </c>
      <c r="AF13" s="216">
        <v>0</v>
      </c>
      <c r="AG13" s="216">
        <v>0</v>
      </c>
      <c r="AH13" s="216">
        <v>1</v>
      </c>
      <c r="AI13" s="216">
        <v>1</v>
      </c>
      <c r="AJ13" s="216">
        <v>1</v>
      </c>
      <c r="AK13" s="216">
        <v>0</v>
      </c>
      <c r="AL13" s="216">
        <v>0</v>
      </c>
      <c r="AM13" s="216">
        <v>0</v>
      </c>
      <c r="AN13" s="216">
        <v>1</v>
      </c>
      <c r="AO13" s="216">
        <v>1</v>
      </c>
      <c r="AP13" s="216">
        <v>1</v>
      </c>
      <c r="AQ13" s="216">
        <v>0</v>
      </c>
      <c r="AR13" s="216">
        <v>0</v>
      </c>
      <c r="AS13" s="216">
        <v>0</v>
      </c>
      <c r="AT13" s="216">
        <v>1</v>
      </c>
      <c r="AU13" s="216">
        <v>1</v>
      </c>
      <c r="AV13" s="216">
        <v>1</v>
      </c>
      <c r="AW13" s="216">
        <v>0</v>
      </c>
      <c r="AX13" s="216">
        <v>0</v>
      </c>
      <c r="AY13" s="216">
        <v>0</v>
      </c>
      <c r="AZ13" s="217" t="s">
        <v>423</v>
      </c>
    </row>
    <row r="14" spans="1:83" ht="15" customHeight="1" x14ac:dyDescent="0.25"/>
    <row r="15" spans="1:83" ht="15" customHeight="1" x14ac:dyDescent="0.25"/>
    <row r="16" spans="1:83" ht="15" customHeight="1" x14ac:dyDescent="0.25">
      <c r="AN16" s="40">
        <v>2.2360869565217389</v>
      </c>
      <c r="AO16" s="40">
        <v>235.84776449711461</v>
      </c>
      <c r="AP16" s="40">
        <v>1152</v>
      </c>
      <c r="AQ16" s="40">
        <v>2</v>
      </c>
      <c r="AR16" s="40">
        <v>189.43362831858406</v>
      </c>
      <c r="AS16" s="40">
        <v>378</v>
      </c>
    </row>
    <row r="17" spans="2:54" ht="15" customHeight="1" x14ac:dyDescent="0.25"/>
    <row r="18" spans="2:54" ht="15" customHeight="1" x14ac:dyDescent="0.25"/>
    <row r="19" spans="2:54" ht="18.75" x14ac:dyDescent="0.3">
      <c r="B19" s="209" t="s">
        <v>279</v>
      </c>
    </row>
    <row r="20" spans="2:54" x14ac:dyDescent="0.25">
      <c r="B20" s="210" t="s">
        <v>277</v>
      </c>
      <c r="C20" s="219" t="s">
        <v>53</v>
      </c>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165"/>
      <c r="BB20" s="165"/>
    </row>
    <row r="21" spans="2:54" ht="15" customHeight="1" x14ac:dyDescent="0.25">
      <c r="B21" s="211">
        <v>1</v>
      </c>
      <c r="C21" s="218" t="s">
        <v>280</v>
      </c>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165"/>
      <c r="BB21" s="165"/>
    </row>
    <row r="22" spans="2:54" ht="15" customHeight="1" x14ac:dyDescent="0.25">
      <c r="B22" s="211">
        <v>2</v>
      </c>
      <c r="C22" s="218" t="s">
        <v>281</v>
      </c>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165"/>
      <c r="BB22" s="165"/>
    </row>
    <row r="23" spans="2:54" ht="15" customHeight="1" x14ac:dyDescent="0.25">
      <c r="B23" s="211">
        <v>3</v>
      </c>
      <c r="C23" s="233" t="s">
        <v>282</v>
      </c>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165"/>
      <c r="BB23" s="165"/>
    </row>
    <row r="24" spans="2:54" x14ac:dyDescent="0.25">
      <c r="B24" s="211">
        <v>4</v>
      </c>
      <c r="C24" s="236" t="s">
        <v>283</v>
      </c>
    </row>
    <row r="25" spans="2:54" x14ac:dyDescent="0.25">
      <c r="B25" s="212">
        <v>5</v>
      </c>
      <c r="C25" s="236" t="s">
        <v>284</v>
      </c>
    </row>
    <row r="26" spans="2:54" x14ac:dyDescent="0.25">
      <c r="B26" s="211">
        <v>6</v>
      </c>
      <c r="C26" s="236" t="s">
        <v>285</v>
      </c>
    </row>
    <row r="27" spans="2:54" x14ac:dyDescent="0.25">
      <c r="B27" s="211">
        <v>7</v>
      </c>
      <c r="C27" s="236" t="s">
        <v>286</v>
      </c>
    </row>
    <row r="28" spans="2:54" x14ac:dyDescent="0.25">
      <c r="B28" s="211">
        <v>8</v>
      </c>
      <c r="C28" s="236" t="s">
        <v>287</v>
      </c>
    </row>
    <row r="29" spans="2:54" x14ac:dyDescent="0.25">
      <c r="B29" s="211">
        <v>9</v>
      </c>
      <c r="C29" s="236" t="s">
        <v>288</v>
      </c>
    </row>
    <row r="30" spans="2:54" x14ac:dyDescent="0.25">
      <c r="B30" s="211">
        <v>10</v>
      </c>
      <c r="C30" s="236" t="s">
        <v>289</v>
      </c>
    </row>
    <row r="31" spans="2:54" x14ac:dyDescent="0.25">
      <c r="B31" s="211">
        <v>11</v>
      </c>
      <c r="C31" s="236" t="s">
        <v>290</v>
      </c>
    </row>
    <row r="32" spans="2:54" x14ac:dyDescent="0.25">
      <c r="B32" s="211">
        <v>12</v>
      </c>
      <c r="C32" s="236" t="s">
        <v>291</v>
      </c>
    </row>
    <row r="33" spans="2:3" x14ac:dyDescent="0.25">
      <c r="B33" s="211">
        <v>13</v>
      </c>
      <c r="C33" s="236" t="s">
        <v>292</v>
      </c>
    </row>
    <row r="34" spans="2:3" x14ac:dyDescent="0.25">
      <c r="B34" s="211">
        <v>14</v>
      </c>
      <c r="C34" s="236" t="s">
        <v>293</v>
      </c>
    </row>
    <row r="35" spans="2:3" x14ac:dyDescent="0.25">
      <c r="B35" s="211">
        <v>15</v>
      </c>
      <c r="C35" s="236" t="s">
        <v>294</v>
      </c>
    </row>
    <row r="36" spans="2:3" x14ac:dyDescent="0.25">
      <c r="B36" s="211">
        <v>16</v>
      </c>
      <c r="C36" s="236" t="s">
        <v>295</v>
      </c>
    </row>
    <row r="37" spans="2:3" x14ac:dyDescent="0.25">
      <c r="B37" s="211">
        <v>17</v>
      </c>
      <c r="C37" s="236" t="s">
        <v>296</v>
      </c>
    </row>
    <row r="38" spans="2:3" x14ac:dyDescent="0.25">
      <c r="B38" s="211">
        <v>18</v>
      </c>
      <c r="C38" s="236" t="s">
        <v>297</v>
      </c>
    </row>
    <row r="39" spans="2:3" x14ac:dyDescent="0.25">
      <c r="B39" s="211">
        <v>19</v>
      </c>
      <c r="C39" s="236" t="s">
        <v>298</v>
      </c>
    </row>
    <row r="40" spans="2:3" x14ac:dyDescent="0.25">
      <c r="B40" s="211">
        <v>20</v>
      </c>
      <c r="C40" s="236" t="s">
        <v>299</v>
      </c>
    </row>
    <row r="41" spans="2:3" x14ac:dyDescent="0.25">
      <c r="B41" s="211">
        <v>21</v>
      </c>
      <c r="C41" s="236" t="s">
        <v>300</v>
      </c>
    </row>
    <row r="42" spans="2:3" x14ac:dyDescent="0.25">
      <c r="B42" s="211">
        <v>22</v>
      </c>
      <c r="C42" s="236" t="s">
        <v>301</v>
      </c>
    </row>
    <row r="43" spans="2:3" x14ac:dyDescent="0.25">
      <c r="B43" s="211">
        <v>23</v>
      </c>
      <c r="C43" s="236" t="s">
        <v>302</v>
      </c>
    </row>
    <row r="44" spans="2:3" x14ac:dyDescent="0.25">
      <c r="B44" s="211">
        <v>24</v>
      </c>
      <c r="C44" s="236" t="s">
        <v>303</v>
      </c>
    </row>
    <row r="45" spans="2:3" x14ac:dyDescent="0.25">
      <c r="B45" s="211">
        <v>25</v>
      </c>
      <c r="C45" s="236" t="s">
        <v>304</v>
      </c>
    </row>
    <row r="46" spans="2:3" x14ac:dyDescent="0.25">
      <c r="B46" s="211">
        <v>26</v>
      </c>
      <c r="C46" s="236" t="s">
        <v>305</v>
      </c>
    </row>
    <row r="47" spans="2:3" x14ac:dyDescent="0.25">
      <c r="B47" s="211">
        <v>27</v>
      </c>
      <c r="C47" s="236" t="s">
        <v>306</v>
      </c>
    </row>
    <row r="48" spans="2:3" x14ac:dyDescent="0.25">
      <c r="B48" s="211">
        <v>28</v>
      </c>
      <c r="C48" s="236" t="s">
        <v>410</v>
      </c>
    </row>
    <row r="49" spans="2:3" x14ac:dyDescent="0.25">
      <c r="B49" s="211">
        <v>29</v>
      </c>
      <c r="C49" s="236" t="s">
        <v>411</v>
      </c>
    </row>
    <row r="50" spans="2:3" x14ac:dyDescent="0.25">
      <c r="B50" s="211">
        <v>30</v>
      </c>
      <c r="C50" s="236" t="s">
        <v>412</v>
      </c>
    </row>
    <row r="51" spans="2:3" x14ac:dyDescent="0.25">
      <c r="B51" s="211">
        <v>31</v>
      </c>
      <c r="C51" s="236" t="s">
        <v>307</v>
      </c>
    </row>
    <row r="52" spans="2:3" x14ac:dyDescent="0.25">
      <c r="B52" s="211">
        <v>32</v>
      </c>
      <c r="C52" s="236" t="s">
        <v>308</v>
      </c>
    </row>
    <row r="53" spans="2:3" x14ac:dyDescent="0.25">
      <c r="B53" s="211">
        <v>33</v>
      </c>
      <c r="C53" s="236" t="s">
        <v>309</v>
      </c>
    </row>
    <row r="54" spans="2:3" x14ac:dyDescent="0.25">
      <c r="B54" s="211">
        <v>34</v>
      </c>
      <c r="C54" s="236" t="s">
        <v>310</v>
      </c>
    </row>
    <row r="55" spans="2:3" x14ac:dyDescent="0.25">
      <c r="B55" s="211">
        <v>35</v>
      </c>
      <c r="C55" s="236" t="s">
        <v>311</v>
      </c>
    </row>
    <row r="56" spans="2:3" x14ac:dyDescent="0.25">
      <c r="B56" s="211">
        <v>36</v>
      </c>
      <c r="C56" s="236" t="s">
        <v>312</v>
      </c>
    </row>
    <row r="57" spans="2:3" x14ac:dyDescent="0.25">
      <c r="B57" s="211">
        <v>37</v>
      </c>
      <c r="C57" s="236" t="s">
        <v>313</v>
      </c>
    </row>
    <row r="58" spans="2:3" x14ac:dyDescent="0.25">
      <c r="B58" s="211">
        <v>38</v>
      </c>
      <c r="C58" s="236" t="s">
        <v>314</v>
      </c>
    </row>
    <row r="59" spans="2:3" x14ac:dyDescent="0.25">
      <c r="B59" s="211">
        <v>39</v>
      </c>
      <c r="C59" s="236" t="s">
        <v>315</v>
      </c>
    </row>
    <row r="60" spans="2:3" x14ac:dyDescent="0.25">
      <c r="B60" s="211">
        <v>40</v>
      </c>
      <c r="C60" s="236" t="s">
        <v>316</v>
      </c>
    </row>
    <row r="61" spans="2:3" x14ac:dyDescent="0.25">
      <c r="B61" s="211">
        <v>41</v>
      </c>
      <c r="C61" s="236" t="s">
        <v>317</v>
      </c>
    </row>
    <row r="62" spans="2:3" x14ac:dyDescent="0.25">
      <c r="B62" s="211">
        <v>42</v>
      </c>
      <c r="C62" s="236" t="s">
        <v>318</v>
      </c>
    </row>
    <row r="63" spans="2:3" x14ac:dyDescent="0.25">
      <c r="B63" s="211">
        <v>43</v>
      </c>
      <c r="C63" s="236" t="s">
        <v>319</v>
      </c>
    </row>
    <row r="64" spans="2:3" x14ac:dyDescent="0.25">
      <c r="B64" s="211">
        <v>44</v>
      </c>
      <c r="C64" s="236" t="s">
        <v>320</v>
      </c>
    </row>
    <row r="65" spans="2:3" x14ac:dyDescent="0.25">
      <c r="B65" s="211">
        <v>45</v>
      </c>
      <c r="C65" s="236" t="s">
        <v>321</v>
      </c>
    </row>
    <row r="66" spans="2:3" x14ac:dyDescent="0.25">
      <c r="B66" s="211">
        <v>46</v>
      </c>
      <c r="C66" s="236" t="s">
        <v>322</v>
      </c>
    </row>
    <row r="67" spans="2:3" x14ac:dyDescent="0.25">
      <c r="B67" s="211">
        <v>47</v>
      </c>
      <c r="C67" s="236" t="s">
        <v>323</v>
      </c>
    </row>
    <row r="68" spans="2:3" x14ac:dyDescent="0.25">
      <c r="B68" s="211">
        <v>48</v>
      </c>
      <c r="C68" s="236" t="s">
        <v>324</v>
      </c>
    </row>
  </sheetData>
  <mergeCells count="5">
    <mergeCell ref="A1:BC1"/>
    <mergeCell ref="B3:B6"/>
    <mergeCell ref="D3:AY3"/>
    <mergeCell ref="AZ3:AZ6"/>
    <mergeCell ref="D5:AY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B60"/>
  <sheetViews>
    <sheetView workbookViewId="0">
      <selection activeCell="A6" sqref="A6"/>
    </sheetView>
  </sheetViews>
  <sheetFormatPr defaultColWidth="36.85546875" defaultRowHeight="12.75" customHeight="1" x14ac:dyDescent="0.25"/>
  <cols>
    <col min="1" max="1" width="18.7109375" style="4" customWidth="1"/>
    <col min="2" max="5" width="31.42578125" style="35" customWidth="1"/>
    <col min="6" max="18" width="36.85546875" style="35" customWidth="1"/>
    <col min="19" max="19" width="37" style="35" customWidth="1"/>
    <col min="20" max="26" width="36.85546875" style="35" customWidth="1"/>
    <col min="27" max="35" width="36.85546875" style="4" customWidth="1"/>
    <col min="36" max="36" width="37.140625" style="4" customWidth="1"/>
    <col min="37" max="38" width="36.85546875" style="4" customWidth="1"/>
    <col min="39" max="39" width="36.7109375" style="4" customWidth="1"/>
    <col min="40" max="41" width="36.85546875" style="4" customWidth="1"/>
    <col min="42" max="42" width="36.7109375" style="4" customWidth="1"/>
    <col min="43" max="43" width="37" style="4" customWidth="1"/>
    <col min="44" max="62" width="36.85546875" style="4" customWidth="1"/>
    <col min="63" max="63" width="37" style="4" customWidth="1"/>
    <col min="64" max="81" width="36.85546875" style="4" customWidth="1"/>
    <col min="82" max="82" width="36.7109375" style="4" customWidth="1"/>
    <col min="83" max="95" width="36.85546875" style="4" customWidth="1"/>
    <col min="96" max="96" width="36.7109375" style="4" customWidth="1"/>
    <col min="97" max="99" width="36.85546875" style="4" customWidth="1"/>
    <col min="100" max="100" width="36.7109375" style="4" customWidth="1"/>
    <col min="101" max="108" width="36.85546875" style="4" customWidth="1"/>
    <col min="109" max="109" width="36.7109375" style="4" customWidth="1"/>
    <col min="110" max="16384" width="36.85546875" style="4"/>
  </cols>
  <sheetData>
    <row r="1" spans="1:236" s="3" customFormat="1" ht="12.75" customHeight="1" x14ac:dyDescent="0.25">
      <c r="A1" s="2" t="s">
        <v>4</v>
      </c>
      <c r="B1" s="24"/>
      <c r="C1" s="94"/>
      <c r="D1" s="94"/>
      <c r="E1" s="94"/>
      <c r="F1" s="25"/>
      <c r="G1" s="25"/>
      <c r="H1" s="25"/>
      <c r="I1" s="25"/>
      <c r="J1" s="25"/>
      <c r="K1" s="25"/>
      <c r="L1" s="25"/>
      <c r="M1" s="25"/>
      <c r="N1" s="25"/>
      <c r="O1" s="25"/>
      <c r="P1" s="25"/>
      <c r="Q1" s="25"/>
      <c r="R1" s="25"/>
      <c r="S1" s="25"/>
      <c r="T1" s="25"/>
      <c r="U1" s="25"/>
      <c r="V1" s="25"/>
      <c r="W1" s="25"/>
      <c r="X1" s="25"/>
      <c r="Y1" s="25"/>
      <c r="Z1" s="25"/>
    </row>
    <row r="2" spans="1:236" s="11" customFormat="1" ht="12.75" customHeight="1" x14ac:dyDescent="0.25">
      <c r="A2" s="95" t="s">
        <v>5</v>
      </c>
      <c r="B2" s="26">
        <v>1</v>
      </c>
      <c r="C2" s="26">
        <v>2</v>
      </c>
      <c r="D2" s="26">
        <v>3</v>
      </c>
      <c r="E2" s="26">
        <v>4</v>
      </c>
      <c r="F2" s="26">
        <v>5</v>
      </c>
      <c r="G2" s="26"/>
      <c r="H2" s="26"/>
      <c r="I2" s="26"/>
      <c r="J2" s="26"/>
      <c r="K2" s="26"/>
      <c r="L2" s="26"/>
      <c r="M2" s="26"/>
      <c r="N2" s="26"/>
      <c r="O2" s="26"/>
      <c r="P2" s="26"/>
      <c r="Q2" s="26"/>
      <c r="R2" s="26"/>
      <c r="S2" s="26"/>
      <c r="T2" s="26"/>
      <c r="U2" s="26"/>
      <c r="V2" s="26"/>
      <c r="W2" s="26"/>
      <c r="X2" s="26"/>
      <c r="Y2" s="26"/>
      <c r="Z2" s="26"/>
      <c r="AA2" s="14"/>
      <c r="AB2" s="14" t="str">
        <f t="shared" ref="AB2:CM2" si="0">IF(AB3="","",AA2+1)</f>
        <v/>
      </c>
      <c r="AC2" s="14" t="str">
        <f t="shared" si="0"/>
        <v/>
      </c>
      <c r="AD2" s="14" t="str">
        <f t="shared" si="0"/>
        <v/>
      </c>
      <c r="AE2" s="14" t="str">
        <f t="shared" si="0"/>
        <v/>
      </c>
      <c r="AF2" s="14" t="str">
        <f t="shared" si="0"/>
        <v/>
      </c>
      <c r="AG2" s="14" t="str">
        <f t="shared" si="0"/>
        <v/>
      </c>
      <c r="AH2" s="14" t="str">
        <f t="shared" si="0"/>
        <v/>
      </c>
      <c r="AI2" s="14" t="str">
        <f t="shared" si="0"/>
        <v/>
      </c>
      <c r="AJ2" s="14" t="str">
        <f t="shared" si="0"/>
        <v/>
      </c>
      <c r="AK2" s="14" t="str">
        <f t="shared" si="0"/>
        <v/>
      </c>
      <c r="AL2" s="14" t="str">
        <f t="shared" si="0"/>
        <v/>
      </c>
      <c r="AM2" s="14" t="str">
        <f t="shared" si="0"/>
        <v/>
      </c>
      <c r="AN2" s="14" t="str">
        <f t="shared" si="0"/>
        <v/>
      </c>
      <c r="AO2" s="14" t="str">
        <f t="shared" si="0"/>
        <v/>
      </c>
      <c r="AP2" s="14" t="str">
        <f t="shared" si="0"/>
        <v/>
      </c>
      <c r="AQ2" s="14" t="str">
        <f t="shared" si="0"/>
        <v/>
      </c>
      <c r="AR2" s="14" t="str">
        <f t="shared" si="0"/>
        <v/>
      </c>
      <c r="AS2" s="14" t="str">
        <f t="shared" si="0"/>
        <v/>
      </c>
      <c r="AT2" s="14" t="str">
        <f t="shared" si="0"/>
        <v/>
      </c>
      <c r="AU2" s="14" t="str">
        <f t="shared" si="0"/>
        <v/>
      </c>
      <c r="AV2" s="14" t="str">
        <f t="shared" si="0"/>
        <v/>
      </c>
      <c r="AW2" s="14" t="str">
        <f t="shared" si="0"/>
        <v/>
      </c>
      <c r="AX2" s="14" t="str">
        <f t="shared" si="0"/>
        <v/>
      </c>
      <c r="AY2" s="14" t="str">
        <f t="shared" si="0"/>
        <v/>
      </c>
      <c r="AZ2" s="14" t="str">
        <f t="shared" si="0"/>
        <v/>
      </c>
      <c r="BA2" s="14" t="str">
        <f t="shared" si="0"/>
        <v/>
      </c>
      <c r="BB2" s="14" t="str">
        <f t="shared" si="0"/>
        <v/>
      </c>
      <c r="BC2" s="14" t="str">
        <f t="shared" si="0"/>
        <v/>
      </c>
      <c r="BD2" s="14" t="str">
        <f t="shared" si="0"/>
        <v/>
      </c>
      <c r="BE2" s="14" t="str">
        <f t="shared" si="0"/>
        <v/>
      </c>
      <c r="BF2" s="14" t="str">
        <f t="shared" si="0"/>
        <v/>
      </c>
      <c r="BG2" s="14" t="str">
        <f t="shared" si="0"/>
        <v/>
      </c>
      <c r="BH2" s="14" t="str">
        <f t="shared" si="0"/>
        <v/>
      </c>
      <c r="BI2" s="14" t="str">
        <f t="shared" si="0"/>
        <v/>
      </c>
      <c r="BJ2" s="14" t="str">
        <f t="shared" si="0"/>
        <v/>
      </c>
      <c r="BK2" s="14" t="str">
        <f t="shared" si="0"/>
        <v/>
      </c>
      <c r="BL2" s="14" t="str">
        <f t="shared" si="0"/>
        <v/>
      </c>
      <c r="BM2" s="14" t="str">
        <f t="shared" si="0"/>
        <v/>
      </c>
      <c r="BN2" s="14" t="str">
        <f t="shared" si="0"/>
        <v/>
      </c>
      <c r="BO2" s="14" t="str">
        <f t="shared" si="0"/>
        <v/>
      </c>
      <c r="BP2" s="14" t="str">
        <f t="shared" si="0"/>
        <v/>
      </c>
      <c r="BQ2" s="14" t="str">
        <f t="shared" si="0"/>
        <v/>
      </c>
      <c r="BR2" s="14" t="str">
        <f t="shared" si="0"/>
        <v/>
      </c>
      <c r="BS2" s="14" t="str">
        <f t="shared" si="0"/>
        <v/>
      </c>
      <c r="BT2" s="14" t="str">
        <f t="shared" si="0"/>
        <v/>
      </c>
      <c r="BU2" s="14" t="str">
        <f t="shared" si="0"/>
        <v/>
      </c>
      <c r="BV2" s="14" t="str">
        <f t="shared" si="0"/>
        <v/>
      </c>
      <c r="BW2" s="14" t="str">
        <f t="shared" si="0"/>
        <v/>
      </c>
      <c r="BX2" s="14" t="str">
        <f t="shared" si="0"/>
        <v/>
      </c>
      <c r="BY2" s="14" t="str">
        <f t="shared" si="0"/>
        <v/>
      </c>
      <c r="BZ2" s="14" t="str">
        <f t="shared" si="0"/>
        <v/>
      </c>
      <c r="CA2" s="14" t="str">
        <f t="shared" si="0"/>
        <v/>
      </c>
      <c r="CB2" s="14" t="str">
        <f t="shared" si="0"/>
        <v/>
      </c>
      <c r="CC2" s="14" t="str">
        <f t="shared" si="0"/>
        <v/>
      </c>
      <c r="CD2" s="14" t="str">
        <f t="shared" si="0"/>
        <v/>
      </c>
      <c r="CE2" s="14" t="str">
        <f t="shared" si="0"/>
        <v/>
      </c>
      <c r="CF2" s="14" t="str">
        <f t="shared" si="0"/>
        <v/>
      </c>
      <c r="CG2" s="14" t="str">
        <f t="shared" si="0"/>
        <v/>
      </c>
      <c r="CH2" s="14" t="str">
        <f t="shared" si="0"/>
        <v/>
      </c>
      <c r="CI2" s="14" t="str">
        <f t="shared" si="0"/>
        <v/>
      </c>
      <c r="CJ2" s="14" t="str">
        <f t="shared" si="0"/>
        <v/>
      </c>
      <c r="CK2" s="14" t="str">
        <f t="shared" si="0"/>
        <v/>
      </c>
      <c r="CL2" s="14" t="str">
        <f t="shared" si="0"/>
        <v/>
      </c>
      <c r="CM2" s="14" t="str">
        <f t="shared" si="0"/>
        <v/>
      </c>
      <c r="CN2" s="14" t="str">
        <f t="shared" ref="CN2:EY2" si="1">IF(CN3="","",CM2+1)</f>
        <v/>
      </c>
      <c r="CO2" s="14" t="str">
        <f t="shared" si="1"/>
        <v/>
      </c>
      <c r="CP2" s="14" t="str">
        <f t="shared" si="1"/>
        <v/>
      </c>
      <c r="CQ2" s="14" t="str">
        <f t="shared" si="1"/>
        <v/>
      </c>
      <c r="CR2" s="14" t="str">
        <f t="shared" si="1"/>
        <v/>
      </c>
      <c r="CS2" s="14" t="str">
        <f t="shared" si="1"/>
        <v/>
      </c>
      <c r="CT2" s="14" t="str">
        <f t="shared" si="1"/>
        <v/>
      </c>
      <c r="CU2" s="14" t="str">
        <f t="shared" si="1"/>
        <v/>
      </c>
      <c r="CV2" s="14" t="str">
        <f t="shared" si="1"/>
        <v/>
      </c>
      <c r="CW2" s="14" t="str">
        <f t="shared" si="1"/>
        <v/>
      </c>
      <c r="CX2" s="14" t="str">
        <f t="shared" si="1"/>
        <v/>
      </c>
      <c r="CY2" s="14" t="str">
        <f t="shared" si="1"/>
        <v/>
      </c>
      <c r="CZ2" s="14" t="str">
        <f t="shared" si="1"/>
        <v/>
      </c>
      <c r="DA2" s="14" t="str">
        <f t="shared" si="1"/>
        <v/>
      </c>
      <c r="DB2" s="14" t="str">
        <f t="shared" si="1"/>
        <v/>
      </c>
      <c r="DC2" s="14" t="str">
        <f t="shared" si="1"/>
        <v/>
      </c>
      <c r="DD2" s="14" t="str">
        <f t="shared" si="1"/>
        <v/>
      </c>
      <c r="DE2" s="14" t="str">
        <f t="shared" si="1"/>
        <v/>
      </c>
      <c r="DF2" s="14" t="str">
        <f t="shared" si="1"/>
        <v/>
      </c>
      <c r="DG2" s="14" t="str">
        <f t="shared" si="1"/>
        <v/>
      </c>
      <c r="DH2" s="14" t="str">
        <f t="shared" si="1"/>
        <v/>
      </c>
      <c r="DI2" s="14" t="str">
        <f t="shared" si="1"/>
        <v/>
      </c>
      <c r="DJ2" s="14" t="str">
        <f t="shared" si="1"/>
        <v/>
      </c>
      <c r="DK2" s="14" t="str">
        <f t="shared" si="1"/>
        <v/>
      </c>
      <c r="DL2" s="14" t="str">
        <f t="shared" si="1"/>
        <v/>
      </c>
      <c r="DM2" s="14" t="str">
        <f t="shared" si="1"/>
        <v/>
      </c>
      <c r="DN2" s="14" t="str">
        <f t="shared" si="1"/>
        <v/>
      </c>
      <c r="DO2" s="14" t="str">
        <f t="shared" si="1"/>
        <v/>
      </c>
      <c r="DP2" s="14" t="str">
        <f t="shared" si="1"/>
        <v/>
      </c>
      <c r="DQ2" s="14" t="str">
        <f t="shared" si="1"/>
        <v/>
      </c>
      <c r="DR2" s="14" t="str">
        <f t="shared" si="1"/>
        <v/>
      </c>
      <c r="DS2" s="14" t="str">
        <f t="shared" si="1"/>
        <v/>
      </c>
      <c r="DT2" s="14" t="str">
        <f t="shared" si="1"/>
        <v/>
      </c>
      <c r="DU2" s="14" t="str">
        <f t="shared" si="1"/>
        <v/>
      </c>
      <c r="DV2" s="14" t="str">
        <f t="shared" si="1"/>
        <v/>
      </c>
      <c r="DW2" s="14" t="str">
        <f t="shared" si="1"/>
        <v/>
      </c>
      <c r="DX2" s="14" t="str">
        <f t="shared" si="1"/>
        <v/>
      </c>
      <c r="DY2" s="14" t="str">
        <f t="shared" si="1"/>
        <v/>
      </c>
      <c r="DZ2" s="14" t="str">
        <f t="shared" si="1"/>
        <v/>
      </c>
      <c r="EA2" s="14" t="str">
        <f t="shared" si="1"/>
        <v/>
      </c>
      <c r="EB2" s="14" t="str">
        <f t="shared" si="1"/>
        <v/>
      </c>
      <c r="EC2" s="14" t="str">
        <f t="shared" si="1"/>
        <v/>
      </c>
      <c r="ED2" s="14" t="str">
        <f t="shared" si="1"/>
        <v/>
      </c>
      <c r="EE2" s="14" t="str">
        <f t="shared" si="1"/>
        <v/>
      </c>
      <c r="EF2" s="14" t="str">
        <f t="shared" si="1"/>
        <v/>
      </c>
      <c r="EG2" s="14" t="str">
        <f t="shared" si="1"/>
        <v/>
      </c>
      <c r="EH2" s="14" t="str">
        <f t="shared" si="1"/>
        <v/>
      </c>
      <c r="EI2" s="14" t="str">
        <f t="shared" si="1"/>
        <v/>
      </c>
      <c r="EJ2" s="14" t="str">
        <f t="shared" si="1"/>
        <v/>
      </c>
      <c r="EK2" s="14" t="str">
        <f t="shared" si="1"/>
        <v/>
      </c>
      <c r="EL2" s="14" t="str">
        <f t="shared" si="1"/>
        <v/>
      </c>
      <c r="EM2" s="14" t="str">
        <f t="shared" si="1"/>
        <v/>
      </c>
      <c r="EN2" s="14" t="str">
        <f t="shared" si="1"/>
        <v/>
      </c>
      <c r="EO2" s="14" t="str">
        <f t="shared" si="1"/>
        <v/>
      </c>
      <c r="EP2" s="14" t="str">
        <f t="shared" si="1"/>
        <v/>
      </c>
      <c r="EQ2" s="14" t="str">
        <f t="shared" si="1"/>
        <v/>
      </c>
      <c r="ER2" s="14" t="str">
        <f t="shared" si="1"/>
        <v/>
      </c>
      <c r="ES2" s="14" t="str">
        <f t="shared" si="1"/>
        <v/>
      </c>
      <c r="ET2" s="14" t="str">
        <f t="shared" si="1"/>
        <v/>
      </c>
      <c r="EU2" s="14" t="str">
        <f t="shared" si="1"/>
        <v/>
      </c>
      <c r="EV2" s="14" t="str">
        <f t="shared" si="1"/>
        <v/>
      </c>
      <c r="EW2" s="14" t="str">
        <f t="shared" si="1"/>
        <v/>
      </c>
      <c r="EX2" s="14" t="str">
        <f t="shared" si="1"/>
        <v/>
      </c>
      <c r="EY2" s="14" t="str">
        <f t="shared" si="1"/>
        <v/>
      </c>
      <c r="EZ2" s="14" t="str">
        <f t="shared" ref="EZ2:HK2" si="2">IF(EZ3="","",EY2+1)</f>
        <v/>
      </c>
      <c r="FA2" s="14" t="str">
        <f t="shared" si="2"/>
        <v/>
      </c>
      <c r="FB2" s="14" t="str">
        <f t="shared" si="2"/>
        <v/>
      </c>
      <c r="FC2" s="14" t="str">
        <f t="shared" si="2"/>
        <v/>
      </c>
      <c r="FD2" s="14" t="str">
        <f t="shared" si="2"/>
        <v/>
      </c>
      <c r="FE2" s="14" t="str">
        <f t="shared" si="2"/>
        <v/>
      </c>
      <c r="FF2" s="14" t="str">
        <f t="shared" si="2"/>
        <v/>
      </c>
      <c r="FG2" s="14" t="str">
        <f t="shared" si="2"/>
        <v/>
      </c>
      <c r="FH2" s="14" t="str">
        <f t="shared" si="2"/>
        <v/>
      </c>
      <c r="FI2" s="14" t="str">
        <f t="shared" si="2"/>
        <v/>
      </c>
      <c r="FJ2" s="14" t="str">
        <f t="shared" si="2"/>
        <v/>
      </c>
      <c r="FK2" s="14" t="str">
        <f t="shared" si="2"/>
        <v/>
      </c>
      <c r="FL2" s="14" t="str">
        <f t="shared" si="2"/>
        <v/>
      </c>
      <c r="FM2" s="14" t="str">
        <f t="shared" si="2"/>
        <v/>
      </c>
      <c r="FN2" s="14" t="str">
        <f t="shared" si="2"/>
        <v/>
      </c>
      <c r="FO2" s="14" t="str">
        <f t="shared" si="2"/>
        <v/>
      </c>
      <c r="FP2" s="14" t="str">
        <f t="shared" si="2"/>
        <v/>
      </c>
      <c r="FQ2" s="14" t="str">
        <f t="shared" si="2"/>
        <v/>
      </c>
      <c r="FR2" s="14" t="str">
        <f t="shared" si="2"/>
        <v/>
      </c>
      <c r="FS2" s="14" t="str">
        <f t="shared" si="2"/>
        <v/>
      </c>
      <c r="FT2" s="14" t="str">
        <f t="shared" si="2"/>
        <v/>
      </c>
      <c r="FU2" s="14" t="str">
        <f t="shared" si="2"/>
        <v/>
      </c>
      <c r="FV2" s="14" t="str">
        <f t="shared" si="2"/>
        <v/>
      </c>
      <c r="FW2" s="14" t="str">
        <f t="shared" si="2"/>
        <v/>
      </c>
      <c r="FX2" s="14" t="str">
        <f t="shared" si="2"/>
        <v/>
      </c>
      <c r="FY2" s="14" t="str">
        <f t="shared" si="2"/>
        <v/>
      </c>
      <c r="FZ2" s="14" t="str">
        <f t="shared" si="2"/>
        <v/>
      </c>
      <c r="GA2" s="14" t="str">
        <f t="shared" si="2"/>
        <v/>
      </c>
      <c r="GB2" s="14" t="str">
        <f t="shared" si="2"/>
        <v/>
      </c>
      <c r="GC2" s="14" t="str">
        <f t="shared" si="2"/>
        <v/>
      </c>
      <c r="GD2" s="14" t="str">
        <f t="shared" si="2"/>
        <v/>
      </c>
      <c r="GE2" s="14" t="str">
        <f t="shared" si="2"/>
        <v/>
      </c>
      <c r="GF2" s="14" t="str">
        <f t="shared" si="2"/>
        <v/>
      </c>
      <c r="GG2" s="14" t="str">
        <f t="shared" si="2"/>
        <v/>
      </c>
      <c r="GH2" s="14" t="str">
        <f t="shared" si="2"/>
        <v/>
      </c>
      <c r="GI2" s="14" t="str">
        <f t="shared" si="2"/>
        <v/>
      </c>
      <c r="GJ2" s="14" t="str">
        <f t="shared" si="2"/>
        <v/>
      </c>
      <c r="GK2" s="14" t="str">
        <f t="shared" si="2"/>
        <v/>
      </c>
      <c r="GL2" s="14" t="str">
        <f t="shared" si="2"/>
        <v/>
      </c>
      <c r="GM2" s="14" t="str">
        <f t="shared" si="2"/>
        <v/>
      </c>
      <c r="GN2" s="14" t="str">
        <f t="shared" si="2"/>
        <v/>
      </c>
      <c r="GO2" s="14" t="str">
        <f t="shared" si="2"/>
        <v/>
      </c>
      <c r="GP2" s="14" t="str">
        <f t="shared" si="2"/>
        <v/>
      </c>
      <c r="GQ2" s="14" t="str">
        <f t="shared" si="2"/>
        <v/>
      </c>
      <c r="GR2" s="14" t="str">
        <f t="shared" si="2"/>
        <v/>
      </c>
      <c r="GS2" s="14" t="str">
        <f t="shared" si="2"/>
        <v/>
      </c>
      <c r="GT2" s="14" t="str">
        <f t="shared" si="2"/>
        <v/>
      </c>
      <c r="GU2" s="14" t="str">
        <f t="shared" si="2"/>
        <v/>
      </c>
      <c r="GV2" s="14" t="str">
        <f t="shared" si="2"/>
        <v/>
      </c>
      <c r="GW2" s="14" t="str">
        <f t="shared" si="2"/>
        <v/>
      </c>
      <c r="GX2" s="14" t="str">
        <f t="shared" si="2"/>
        <v/>
      </c>
      <c r="GY2" s="14" t="str">
        <f t="shared" si="2"/>
        <v/>
      </c>
      <c r="GZ2" s="14" t="str">
        <f t="shared" si="2"/>
        <v/>
      </c>
      <c r="HA2" s="14" t="str">
        <f t="shared" si="2"/>
        <v/>
      </c>
      <c r="HB2" s="14" t="str">
        <f t="shared" si="2"/>
        <v/>
      </c>
      <c r="HC2" s="14" t="str">
        <f t="shared" si="2"/>
        <v/>
      </c>
      <c r="HD2" s="14" t="str">
        <f t="shared" si="2"/>
        <v/>
      </c>
      <c r="HE2" s="14" t="str">
        <f t="shared" si="2"/>
        <v/>
      </c>
      <c r="HF2" s="14" t="str">
        <f t="shared" si="2"/>
        <v/>
      </c>
      <c r="HG2" s="14" t="str">
        <f t="shared" si="2"/>
        <v/>
      </c>
      <c r="HH2" s="14" t="str">
        <f t="shared" si="2"/>
        <v/>
      </c>
      <c r="HI2" s="14" t="str">
        <f t="shared" si="2"/>
        <v/>
      </c>
      <c r="HJ2" s="14" t="str">
        <f t="shared" si="2"/>
        <v/>
      </c>
      <c r="HK2" s="14" t="str">
        <f t="shared" si="2"/>
        <v/>
      </c>
      <c r="HL2" s="14" t="str">
        <f t="shared" ref="HL2:IB2" si="3">IF(HL3="","",HK2+1)</f>
        <v/>
      </c>
      <c r="HM2" s="14" t="str">
        <f t="shared" si="3"/>
        <v/>
      </c>
      <c r="HN2" s="14" t="str">
        <f t="shared" si="3"/>
        <v/>
      </c>
      <c r="HO2" s="14" t="str">
        <f t="shared" si="3"/>
        <v/>
      </c>
      <c r="HP2" s="14" t="str">
        <f t="shared" si="3"/>
        <v/>
      </c>
      <c r="HQ2" s="14" t="str">
        <f t="shared" si="3"/>
        <v/>
      </c>
      <c r="HR2" s="14" t="str">
        <f t="shared" si="3"/>
        <v/>
      </c>
      <c r="HS2" s="14" t="str">
        <f t="shared" si="3"/>
        <v/>
      </c>
      <c r="HT2" s="14" t="str">
        <f t="shared" si="3"/>
        <v/>
      </c>
      <c r="HU2" s="14" t="str">
        <f t="shared" si="3"/>
        <v/>
      </c>
      <c r="HV2" s="14" t="str">
        <f t="shared" si="3"/>
        <v/>
      </c>
      <c r="HW2" s="14" t="str">
        <f t="shared" si="3"/>
        <v/>
      </c>
      <c r="HX2" s="14" t="str">
        <f t="shared" si="3"/>
        <v/>
      </c>
      <c r="HY2" s="14" t="str">
        <f t="shared" si="3"/>
        <v/>
      </c>
      <c r="HZ2" s="14" t="str">
        <f t="shared" si="3"/>
        <v/>
      </c>
      <c r="IA2" s="14" t="str">
        <f t="shared" si="3"/>
        <v/>
      </c>
      <c r="IB2" s="14" t="str">
        <f t="shared" si="3"/>
        <v/>
      </c>
    </row>
    <row r="3" spans="1:236" s="7" customFormat="1" x14ac:dyDescent="0.2">
      <c r="A3" s="16" t="s">
        <v>6</v>
      </c>
      <c r="B3" s="27" t="s">
        <v>7</v>
      </c>
      <c r="C3" s="27" t="s">
        <v>7</v>
      </c>
      <c r="D3" s="27" t="s">
        <v>7</v>
      </c>
      <c r="E3" s="27"/>
      <c r="F3" s="27"/>
      <c r="G3" s="27"/>
      <c r="H3" s="27"/>
      <c r="I3" s="27"/>
      <c r="J3" s="27"/>
      <c r="K3" s="27"/>
      <c r="L3" s="27"/>
      <c r="M3" s="27"/>
      <c r="N3" s="27"/>
      <c r="O3" s="27"/>
      <c r="P3" s="27"/>
      <c r="Q3" s="27"/>
      <c r="R3" s="27"/>
      <c r="S3" s="27"/>
      <c r="T3" s="27"/>
      <c r="U3" s="27"/>
      <c r="V3" s="27"/>
      <c r="W3" s="27"/>
      <c r="X3" s="27"/>
      <c r="Y3" s="27"/>
      <c r="Z3" s="27"/>
      <c r="FT3" s="8"/>
      <c r="FU3" s="8"/>
      <c r="FV3" s="8"/>
      <c r="FW3" s="8"/>
      <c r="FX3" s="8"/>
      <c r="FY3" s="8"/>
      <c r="FZ3" s="8"/>
      <c r="GA3" s="8"/>
      <c r="GB3" s="8"/>
      <c r="GC3" s="8"/>
      <c r="GD3" s="8"/>
      <c r="GE3" s="8"/>
      <c r="GF3" s="8"/>
      <c r="GG3" s="8"/>
      <c r="GH3" s="8"/>
      <c r="GI3" s="8"/>
      <c r="GJ3" s="8"/>
      <c r="GK3" s="8"/>
      <c r="GL3" s="8"/>
      <c r="GM3" s="8"/>
      <c r="GN3" s="8"/>
      <c r="GO3" s="8"/>
      <c r="GP3" s="8"/>
      <c r="GQ3" s="8"/>
      <c r="GR3" s="8"/>
      <c r="GS3" s="8"/>
    </row>
    <row r="4" spans="1:236" s="7" customFormat="1" ht="63.75" x14ac:dyDescent="0.2">
      <c r="A4" s="16" t="s">
        <v>9</v>
      </c>
      <c r="B4" s="63" t="s">
        <v>369</v>
      </c>
      <c r="C4" s="27" t="s">
        <v>373</v>
      </c>
      <c r="D4" s="63" t="s">
        <v>381</v>
      </c>
      <c r="E4" s="27"/>
      <c r="F4" s="27"/>
      <c r="G4" s="27"/>
      <c r="H4" s="63"/>
      <c r="I4" s="63"/>
      <c r="J4" s="63"/>
      <c r="K4" s="63"/>
      <c r="L4" s="63"/>
      <c r="M4" s="63"/>
      <c r="N4" s="63"/>
      <c r="O4" s="28"/>
      <c r="P4" s="63"/>
      <c r="Q4" s="27"/>
      <c r="R4" s="63"/>
      <c r="S4" s="63"/>
      <c r="T4" s="27"/>
      <c r="U4" s="27"/>
      <c r="V4" s="27"/>
      <c r="W4" s="27"/>
      <c r="X4" s="27"/>
      <c r="Y4" s="27"/>
      <c r="Z4" s="27"/>
      <c r="AH4" s="17"/>
      <c r="AI4" s="17"/>
      <c r="AJ4" s="17"/>
      <c r="AK4" s="17"/>
      <c r="AL4" s="17"/>
      <c r="AM4" s="17"/>
      <c r="AN4" s="17"/>
      <c r="FR4" s="8"/>
      <c r="FT4" s="8"/>
      <c r="FU4" s="8"/>
      <c r="FV4" s="8"/>
      <c r="FW4" s="8"/>
      <c r="FX4" s="8"/>
      <c r="FY4" s="8"/>
      <c r="FZ4" s="8"/>
      <c r="GA4" s="8"/>
      <c r="GB4" s="8"/>
      <c r="GC4" s="8"/>
      <c r="GD4" s="8"/>
      <c r="GE4" s="8"/>
      <c r="GF4" s="8"/>
      <c r="GG4" s="8"/>
      <c r="GH4" s="8"/>
      <c r="GI4" s="8"/>
      <c r="GJ4" s="8"/>
      <c r="GK4" s="8"/>
      <c r="GL4" s="8"/>
      <c r="GM4" s="8"/>
      <c r="GN4" s="8"/>
      <c r="GO4" s="8"/>
      <c r="GP4" s="8"/>
      <c r="GQ4" s="8"/>
      <c r="GR4" s="8"/>
      <c r="GS4" s="8"/>
    </row>
    <row r="5" spans="1:236" s="18" customFormat="1" ht="25.5" x14ac:dyDescent="0.2">
      <c r="A5" s="96" t="s">
        <v>10</v>
      </c>
      <c r="B5" s="64" t="s">
        <v>366</v>
      </c>
      <c r="C5" s="29" t="s">
        <v>374</v>
      </c>
      <c r="D5" s="29" t="s">
        <v>382</v>
      </c>
      <c r="E5" s="29"/>
      <c r="F5" s="29"/>
      <c r="G5" s="29"/>
      <c r="H5" s="64"/>
      <c r="I5" s="29"/>
      <c r="J5" s="64"/>
      <c r="K5" s="29"/>
      <c r="L5" s="64"/>
      <c r="M5" s="29"/>
      <c r="N5" s="64"/>
      <c r="O5" s="29"/>
      <c r="P5" s="64"/>
      <c r="Q5" s="64"/>
      <c r="R5" s="29"/>
      <c r="S5" s="29"/>
      <c r="T5" s="29"/>
      <c r="U5" s="29"/>
      <c r="V5" s="29"/>
      <c r="W5" s="29"/>
      <c r="X5" s="29"/>
      <c r="Y5" s="29"/>
      <c r="Z5" s="29"/>
      <c r="DF5" s="65"/>
      <c r="FT5" s="19"/>
      <c r="FU5" s="19"/>
      <c r="FV5" s="19"/>
      <c r="FW5" s="19"/>
      <c r="FX5" s="19"/>
      <c r="FY5" s="19"/>
      <c r="FZ5" s="19"/>
      <c r="GA5" s="19"/>
      <c r="GB5" s="19"/>
      <c r="GC5" s="19"/>
      <c r="GD5" s="19"/>
      <c r="GE5" s="19"/>
      <c r="GF5" s="19"/>
      <c r="GG5" s="19"/>
      <c r="GH5" s="19"/>
      <c r="GI5" s="19"/>
      <c r="GJ5" s="19"/>
      <c r="GK5" s="19"/>
      <c r="GL5" s="19"/>
      <c r="GM5" s="19"/>
      <c r="GN5" s="20"/>
      <c r="GO5" s="19"/>
      <c r="GP5" s="19"/>
      <c r="GQ5" s="19"/>
      <c r="GR5" s="19"/>
      <c r="GS5" s="19"/>
    </row>
    <row r="6" spans="1:236" s="18" customFormat="1" x14ac:dyDescent="0.2">
      <c r="A6" s="96" t="s">
        <v>11</v>
      </c>
      <c r="B6" s="29"/>
      <c r="C6" s="29"/>
      <c r="D6" s="29" t="s">
        <v>383</v>
      </c>
      <c r="E6" s="29"/>
      <c r="F6" s="29"/>
      <c r="G6" s="29"/>
      <c r="H6" s="29"/>
      <c r="I6" s="29"/>
      <c r="J6" s="29"/>
      <c r="K6" s="29"/>
      <c r="L6" s="29"/>
      <c r="M6" s="29"/>
      <c r="N6" s="29"/>
      <c r="O6" s="29"/>
      <c r="P6" s="29"/>
      <c r="Q6" s="29"/>
      <c r="R6" s="29"/>
      <c r="S6" s="29"/>
      <c r="T6" s="29"/>
      <c r="U6" s="29"/>
      <c r="V6" s="29"/>
      <c r="W6" s="29"/>
      <c r="X6" s="29"/>
      <c r="Y6" s="29"/>
      <c r="Z6" s="2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row>
    <row r="7" spans="1:236" s="9" customFormat="1" x14ac:dyDescent="0.2">
      <c r="A7" s="16" t="s">
        <v>12</v>
      </c>
      <c r="B7" s="66" t="s">
        <v>367</v>
      </c>
      <c r="C7" s="30" t="s">
        <v>375</v>
      </c>
      <c r="D7" s="30" t="s">
        <v>367</v>
      </c>
      <c r="E7" s="30"/>
      <c r="F7" s="30"/>
      <c r="G7" s="30"/>
      <c r="H7" s="66"/>
      <c r="I7" s="30"/>
      <c r="J7" s="66"/>
      <c r="K7" s="30"/>
      <c r="L7" s="30"/>
      <c r="M7" s="30"/>
      <c r="N7" s="30"/>
      <c r="O7" s="30"/>
      <c r="P7" s="30"/>
      <c r="Q7" s="30"/>
      <c r="R7" s="30"/>
      <c r="S7" s="30"/>
      <c r="T7" s="30"/>
      <c r="U7" s="30"/>
      <c r="V7" s="30"/>
      <c r="W7" s="30"/>
      <c r="X7" s="30"/>
      <c r="Y7" s="30"/>
      <c r="Z7" s="3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row>
    <row r="8" spans="1:236" s="9" customFormat="1" x14ac:dyDescent="0.2">
      <c r="A8" s="16" t="s">
        <v>13</v>
      </c>
      <c r="B8" s="30"/>
      <c r="C8" s="30" t="s">
        <v>380</v>
      </c>
      <c r="D8" s="66" t="s">
        <v>384</v>
      </c>
      <c r="E8" s="30"/>
      <c r="F8" s="30"/>
      <c r="G8" s="30"/>
      <c r="H8" s="30"/>
      <c r="I8" s="30"/>
      <c r="J8" s="66"/>
      <c r="K8" s="30"/>
      <c r="L8" s="30"/>
      <c r="M8" s="30"/>
      <c r="N8" s="30"/>
      <c r="O8" s="30"/>
      <c r="P8" s="30"/>
      <c r="Q8" s="30"/>
      <c r="R8" s="30"/>
      <c r="S8" s="30"/>
      <c r="T8" s="30"/>
      <c r="U8" s="30"/>
      <c r="V8" s="30"/>
      <c r="W8" s="30"/>
      <c r="X8" s="30"/>
      <c r="Y8" s="30"/>
      <c r="Z8" s="3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row>
    <row r="9" spans="1:236" s="18" customFormat="1" x14ac:dyDescent="0.2">
      <c r="A9" s="96" t="s">
        <v>14</v>
      </c>
      <c r="B9" s="67"/>
      <c r="C9" s="64"/>
      <c r="D9" s="29"/>
      <c r="E9" s="29"/>
      <c r="F9" s="29"/>
      <c r="G9" s="29"/>
      <c r="H9" s="67"/>
      <c r="I9" s="29"/>
      <c r="J9" s="64"/>
      <c r="K9" s="64"/>
      <c r="L9" s="64"/>
      <c r="M9" s="29"/>
      <c r="N9" s="29"/>
      <c r="O9" s="29"/>
      <c r="P9" s="29"/>
      <c r="Q9" s="29"/>
      <c r="R9" s="29"/>
      <c r="S9" s="29"/>
      <c r="T9" s="29"/>
      <c r="U9" s="29"/>
      <c r="V9" s="29"/>
      <c r="W9" s="29"/>
      <c r="X9" s="29"/>
      <c r="Y9" s="29"/>
      <c r="Z9" s="29"/>
      <c r="AP9" s="65"/>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row>
    <row r="10" spans="1:236" s="18" customFormat="1" x14ac:dyDescent="0.2">
      <c r="A10" s="96" t="s">
        <v>15</v>
      </c>
      <c r="B10" s="64" t="s">
        <v>368</v>
      </c>
      <c r="C10" s="29" t="s">
        <v>376</v>
      </c>
      <c r="D10" s="29"/>
      <c r="E10" s="29"/>
      <c r="F10" s="29"/>
      <c r="G10" s="29"/>
      <c r="H10" s="64"/>
      <c r="I10" s="29"/>
      <c r="J10" s="29"/>
      <c r="K10" s="29"/>
      <c r="L10" s="29"/>
      <c r="M10" s="29"/>
      <c r="N10" s="29"/>
      <c r="O10" s="29"/>
      <c r="P10" s="29"/>
      <c r="Q10" s="29"/>
      <c r="R10" s="29"/>
      <c r="S10" s="29"/>
      <c r="T10" s="29"/>
      <c r="U10" s="29"/>
      <c r="V10" s="29"/>
      <c r="W10" s="29"/>
      <c r="X10" s="29"/>
      <c r="Y10" s="29"/>
      <c r="Z10" s="2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row>
    <row r="11" spans="1:236" s="9" customFormat="1" x14ac:dyDescent="0.2">
      <c r="A11" s="16" t="s">
        <v>16</v>
      </c>
      <c r="B11" s="30"/>
      <c r="C11" s="30"/>
      <c r="D11" s="30"/>
      <c r="E11" s="30"/>
      <c r="F11" s="30"/>
      <c r="G11" s="30"/>
      <c r="H11" s="30"/>
      <c r="I11" s="30"/>
      <c r="J11" s="66"/>
      <c r="K11" s="30"/>
      <c r="L11" s="30"/>
      <c r="M11" s="30"/>
      <c r="N11" s="30"/>
      <c r="O11" s="66"/>
      <c r="P11" s="30"/>
      <c r="Q11" s="30"/>
      <c r="R11" s="30"/>
      <c r="S11" s="30"/>
      <c r="T11" s="30"/>
      <c r="U11" s="30"/>
      <c r="V11" s="30"/>
      <c r="W11" s="30"/>
      <c r="X11" s="30"/>
      <c r="Y11" s="30"/>
      <c r="Z11" s="3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row>
    <row r="12" spans="1:236" s="9" customFormat="1" ht="25.5" x14ac:dyDescent="0.2">
      <c r="A12" s="16" t="s">
        <v>17</v>
      </c>
      <c r="B12" s="30"/>
      <c r="C12" s="30"/>
      <c r="D12" s="30"/>
      <c r="E12" s="30"/>
      <c r="F12" s="30"/>
      <c r="G12" s="30"/>
      <c r="H12" s="30"/>
      <c r="I12" s="30"/>
      <c r="J12" s="66"/>
      <c r="K12" s="30"/>
      <c r="L12" s="30"/>
      <c r="M12" s="30"/>
      <c r="N12" s="30"/>
      <c r="O12" s="66"/>
      <c r="P12" s="30"/>
      <c r="Q12" s="30"/>
      <c r="R12" s="30"/>
      <c r="S12" s="30"/>
      <c r="T12" s="30"/>
      <c r="U12" s="30"/>
      <c r="V12" s="30"/>
      <c r="W12" s="30"/>
      <c r="X12" s="30"/>
      <c r="Y12" s="30"/>
      <c r="Z12" s="3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row>
    <row r="13" spans="1:236" s="18" customFormat="1" x14ac:dyDescent="0.2">
      <c r="A13" s="96" t="s">
        <v>18</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row>
    <row r="14" spans="1:236" s="18" customFormat="1" x14ac:dyDescent="0.2">
      <c r="A14" s="96" t="s">
        <v>19</v>
      </c>
      <c r="B14" s="29"/>
      <c r="C14" s="29"/>
      <c r="D14" s="64"/>
      <c r="E14" s="29"/>
      <c r="F14" s="29"/>
      <c r="G14" s="29"/>
      <c r="H14" s="29"/>
      <c r="I14" s="29"/>
      <c r="J14" s="29"/>
      <c r="K14" s="29"/>
      <c r="L14" s="29"/>
      <c r="M14" s="29"/>
      <c r="N14" s="29"/>
      <c r="O14" s="29"/>
      <c r="P14" s="29"/>
      <c r="Q14" s="29"/>
      <c r="R14" s="29"/>
      <c r="S14" s="29"/>
      <c r="T14" s="29"/>
      <c r="U14" s="29"/>
      <c r="V14" s="29"/>
      <c r="W14" s="29"/>
      <c r="X14" s="29"/>
      <c r="Y14" s="29"/>
      <c r="Z14" s="2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row>
    <row r="15" spans="1:236" s="7" customFormat="1" x14ac:dyDescent="0.2">
      <c r="A15" s="16" t="s">
        <v>20</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row>
    <row r="16" spans="1:236" s="9" customFormat="1" x14ac:dyDescent="0.2">
      <c r="A16" s="16" t="s">
        <v>21</v>
      </c>
      <c r="B16" s="30"/>
      <c r="C16" s="30" t="s">
        <v>378</v>
      </c>
      <c r="D16" s="30"/>
      <c r="E16" s="30"/>
      <c r="F16" s="30"/>
      <c r="G16" s="30"/>
      <c r="H16" s="30"/>
      <c r="I16" s="30"/>
      <c r="J16" s="30"/>
      <c r="K16" s="30"/>
      <c r="L16" s="30"/>
      <c r="M16" s="30"/>
      <c r="N16" s="30"/>
      <c r="O16" s="30"/>
      <c r="P16" s="30"/>
      <c r="Q16" s="30"/>
      <c r="R16" s="30"/>
      <c r="S16" s="30"/>
      <c r="T16" s="30"/>
      <c r="U16" s="30"/>
      <c r="V16" s="30"/>
      <c r="W16" s="30"/>
      <c r="X16" s="30"/>
      <c r="Y16" s="30"/>
      <c r="Z16" s="30"/>
      <c r="BT16" s="7"/>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row>
    <row r="17" spans="1:201" s="21" customFormat="1" x14ac:dyDescent="0.2">
      <c r="A17" s="96" t="s">
        <v>22</v>
      </c>
      <c r="B17" s="31"/>
      <c r="C17" s="31" t="s">
        <v>379</v>
      </c>
      <c r="D17" s="31"/>
      <c r="E17" s="31"/>
      <c r="F17" s="31"/>
      <c r="G17" s="31"/>
      <c r="H17" s="31"/>
      <c r="I17" s="31"/>
      <c r="J17" s="31"/>
      <c r="K17" s="31"/>
      <c r="L17" s="31"/>
      <c r="M17" s="31"/>
      <c r="N17" s="31"/>
      <c r="O17" s="31"/>
      <c r="P17" s="31"/>
      <c r="Q17" s="31"/>
      <c r="R17" s="31"/>
      <c r="S17" s="31"/>
      <c r="T17" s="31"/>
      <c r="U17" s="31"/>
      <c r="V17" s="31"/>
      <c r="W17" s="31"/>
      <c r="X17" s="31"/>
      <c r="Y17" s="31"/>
      <c r="Z17" s="31"/>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row>
    <row r="18" spans="1:201" s="21" customFormat="1" x14ac:dyDescent="0.2">
      <c r="A18" s="96" t="s">
        <v>23</v>
      </c>
      <c r="B18" s="31"/>
      <c r="C18" s="31"/>
      <c r="D18" s="31"/>
      <c r="E18" s="31"/>
      <c r="F18" s="31"/>
      <c r="G18" s="31"/>
      <c r="H18" s="31"/>
      <c r="I18" s="31"/>
      <c r="J18" s="31"/>
      <c r="K18" s="31"/>
      <c r="L18" s="31"/>
      <c r="M18" s="31"/>
      <c r="N18" s="31"/>
      <c r="O18" s="32"/>
      <c r="P18" s="31"/>
      <c r="Q18" s="31"/>
      <c r="R18" s="31"/>
      <c r="S18" s="31"/>
      <c r="T18" s="31"/>
      <c r="U18" s="31"/>
      <c r="V18" s="31"/>
      <c r="W18" s="31"/>
      <c r="X18" s="31"/>
      <c r="Y18" s="31"/>
      <c r="Z18" s="31"/>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row>
    <row r="19" spans="1:201" s="7" customFormat="1" x14ac:dyDescent="0.2">
      <c r="A19" s="16" t="s">
        <v>24</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row>
    <row r="20" spans="1:201" s="132" customFormat="1" ht="15" x14ac:dyDescent="0.25">
      <c r="A20" s="129" t="s">
        <v>25</v>
      </c>
      <c r="B20" s="40"/>
      <c r="C20" s="40"/>
      <c r="D20" s="40"/>
      <c r="E20" s="40"/>
      <c r="G20" s="133" t="s">
        <v>222</v>
      </c>
      <c r="H20" s="130"/>
      <c r="I20" s="130"/>
      <c r="K20" s="130"/>
      <c r="L20" s="130"/>
      <c r="M20" s="130"/>
      <c r="N20" s="130"/>
      <c r="O20" s="130"/>
      <c r="P20" s="130"/>
      <c r="Q20" s="130"/>
      <c r="R20" s="133"/>
      <c r="S20" s="133"/>
      <c r="T20" s="133"/>
      <c r="U20" s="133"/>
      <c r="V20" s="133"/>
      <c r="W20" s="133"/>
      <c r="X20" s="133"/>
      <c r="Y20" s="133"/>
      <c r="Z20" s="133"/>
      <c r="AA20" s="133"/>
      <c r="AB20" s="133"/>
      <c r="AC20" s="133"/>
      <c r="AD20" s="133"/>
      <c r="AE20" s="133"/>
      <c r="AF20" s="133"/>
      <c r="AG20" s="133"/>
      <c r="AH20" s="133"/>
      <c r="AI20" s="133"/>
      <c r="AJ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O20" s="133"/>
      <c r="BP20" s="133"/>
      <c r="BQ20" s="133"/>
      <c r="BR20" s="133"/>
      <c r="BS20" s="133"/>
      <c r="BT20" s="133"/>
      <c r="BU20" s="133"/>
      <c r="BV20" s="133"/>
      <c r="BW20" s="133"/>
      <c r="BX20" s="133"/>
      <c r="BY20" s="133"/>
      <c r="BZ20" s="133"/>
      <c r="CB20" s="133"/>
      <c r="CC20" s="133"/>
      <c r="CE20" s="133"/>
      <c r="CF20" s="133"/>
      <c r="CG20" s="133"/>
      <c r="CH20" s="133"/>
      <c r="CI20" s="133"/>
      <c r="CJ20" s="133"/>
      <c r="CK20" s="133"/>
      <c r="CL20" s="133"/>
      <c r="CN20" s="133"/>
      <c r="CO20" s="133"/>
      <c r="CP20" s="133"/>
      <c r="CQ20" s="133"/>
      <c r="CR20" s="133"/>
      <c r="CS20" s="133"/>
      <c r="CT20" s="133"/>
      <c r="CU20" s="133"/>
      <c r="CV20" s="133"/>
      <c r="CW20" s="133"/>
      <c r="CX20" s="133"/>
      <c r="CY20" s="133"/>
      <c r="CZ20" s="133"/>
      <c r="DA20" s="133"/>
      <c r="DB20" s="133"/>
      <c r="DC20" s="133"/>
      <c r="DD20" s="133"/>
      <c r="DE20" s="133"/>
      <c r="DF20" s="133"/>
      <c r="DG20" s="133"/>
      <c r="DH20" s="133"/>
      <c r="DI20" s="133"/>
      <c r="DJ20" s="133"/>
      <c r="DK20" s="133"/>
      <c r="FT20" s="131"/>
      <c r="FV20" s="131"/>
      <c r="FZ20" s="131"/>
      <c r="GA20" s="131"/>
      <c r="GB20" s="131"/>
      <c r="GD20" s="131"/>
      <c r="GE20" s="131"/>
      <c r="GF20" s="131"/>
      <c r="GG20" s="131"/>
      <c r="GH20" s="131"/>
      <c r="GI20" s="131"/>
      <c r="GJ20" s="131"/>
      <c r="GK20" s="131"/>
      <c r="GL20" s="131"/>
      <c r="GM20" s="131"/>
      <c r="GN20" s="131"/>
      <c r="GO20" s="131"/>
      <c r="GP20" s="131"/>
      <c r="GQ20" s="131"/>
      <c r="GR20" s="131"/>
      <c r="GS20" s="131"/>
    </row>
    <row r="21" spans="1:201" s="66" customFormat="1" x14ac:dyDescent="0.25">
      <c r="A21" s="125" t="s">
        <v>206</v>
      </c>
      <c r="B21" s="126"/>
      <c r="C21" s="126"/>
      <c r="D21" s="126"/>
      <c r="G21" s="128"/>
      <c r="H21" s="126"/>
      <c r="I21" s="126"/>
      <c r="K21" s="126"/>
      <c r="L21" s="126"/>
      <c r="M21" s="126"/>
      <c r="N21" s="126"/>
      <c r="O21" s="126"/>
      <c r="P21" s="126"/>
      <c r="Q21" s="126"/>
      <c r="R21" s="128"/>
      <c r="S21" s="128"/>
      <c r="T21" s="128"/>
      <c r="U21" s="128"/>
      <c r="V21" s="128"/>
      <c r="W21" s="128"/>
      <c r="X21" s="128"/>
      <c r="Y21" s="128"/>
      <c r="Z21" s="128"/>
      <c r="AA21" s="128"/>
      <c r="AB21" s="128"/>
      <c r="AC21" s="128"/>
      <c r="AD21" s="128"/>
      <c r="AE21" s="128"/>
      <c r="AF21" s="128"/>
      <c r="AG21" s="128"/>
      <c r="AH21" s="128"/>
      <c r="AI21" s="128"/>
      <c r="AJ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O21" s="128"/>
      <c r="BP21" s="128"/>
      <c r="BQ21" s="128"/>
      <c r="BR21" s="128"/>
      <c r="BS21" s="128"/>
      <c r="BT21" s="128"/>
      <c r="BU21" s="128"/>
      <c r="BV21" s="128"/>
      <c r="BW21" s="128"/>
      <c r="BX21" s="128"/>
      <c r="BY21" s="128"/>
      <c r="BZ21" s="128"/>
      <c r="CB21" s="128"/>
      <c r="CC21" s="128"/>
      <c r="CE21" s="128"/>
      <c r="CF21" s="128"/>
      <c r="CG21" s="128"/>
      <c r="CH21" s="128"/>
      <c r="CI21" s="128"/>
      <c r="CJ21" s="128"/>
      <c r="CK21" s="128"/>
      <c r="CL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FT21" s="127"/>
      <c r="FV21" s="127"/>
      <c r="FZ21" s="127"/>
      <c r="GA21" s="127"/>
      <c r="GB21" s="127"/>
      <c r="GD21" s="127"/>
      <c r="GE21" s="127"/>
      <c r="GF21" s="127"/>
      <c r="GG21" s="127"/>
      <c r="GH21" s="127"/>
      <c r="GI21" s="127"/>
      <c r="GJ21" s="127"/>
      <c r="GK21" s="127"/>
      <c r="GL21" s="127"/>
      <c r="GM21" s="127"/>
      <c r="GN21" s="127"/>
      <c r="GO21" s="127"/>
      <c r="GP21" s="127"/>
      <c r="GQ21" s="127"/>
      <c r="GR21" s="127"/>
      <c r="GS21" s="127"/>
    </row>
    <row r="22" spans="1:201" s="18" customFormat="1" x14ac:dyDescent="0.2">
      <c r="A22" s="96" t="s">
        <v>26</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row>
    <row r="23" spans="1:201" s="21" customFormat="1" ht="25.5" x14ac:dyDescent="0.2">
      <c r="A23" s="96" t="s">
        <v>28</v>
      </c>
      <c r="B23" s="69"/>
      <c r="C23" s="31"/>
      <c r="D23" s="31"/>
      <c r="E23" s="31"/>
      <c r="F23" s="31"/>
      <c r="G23" s="31"/>
      <c r="H23" s="69"/>
      <c r="I23" s="31"/>
      <c r="J23" s="69"/>
      <c r="K23" s="31"/>
      <c r="L23" s="31"/>
      <c r="M23" s="31"/>
      <c r="N23" s="31"/>
      <c r="O23" s="69"/>
      <c r="P23" s="31"/>
      <c r="Q23" s="31"/>
      <c r="R23" s="31"/>
      <c r="S23" s="31"/>
      <c r="T23" s="31"/>
      <c r="U23" s="31"/>
      <c r="V23" s="31"/>
      <c r="W23" s="31"/>
      <c r="X23" s="31"/>
      <c r="Y23" s="31"/>
      <c r="Z23" s="31"/>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row>
    <row r="24" spans="1:201" s="9" customFormat="1" ht="25.5" x14ac:dyDescent="0.2">
      <c r="A24" s="16" t="s">
        <v>29</v>
      </c>
      <c r="C24" s="30"/>
      <c r="D24" s="27"/>
      <c r="E24" s="30"/>
      <c r="F24" s="30"/>
      <c r="G24" s="30"/>
      <c r="H24" s="27"/>
      <c r="I24" s="30"/>
      <c r="J24" s="63"/>
      <c r="K24" s="30"/>
      <c r="L24" s="30"/>
      <c r="M24" s="30"/>
      <c r="N24" s="30"/>
      <c r="O24" s="30"/>
      <c r="P24" s="30"/>
      <c r="Q24" s="30"/>
      <c r="R24" s="30"/>
      <c r="S24" s="30"/>
      <c r="T24" s="30"/>
      <c r="U24" s="30"/>
      <c r="V24" s="30"/>
      <c r="W24" s="30"/>
      <c r="X24" s="30"/>
      <c r="Y24" s="30"/>
      <c r="Z24" s="3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row>
    <row r="25" spans="1:201" s="7" customFormat="1" x14ac:dyDescent="0.2">
      <c r="A25" s="16" t="s">
        <v>30</v>
      </c>
      <c r="C25" s="27"/>
      <c r="D25" s="63"/>
      <c r="E25" s="27"/>
      <c r="F25" s="27"/>
      <c r="G25" s="27"/>
      <c r="H25" s="63"/>
      <c r="I25" s="27"/>
      <c r="J25" s="63"/>
      <c r="K25" s="27"/>
      <c r="L25" s="27"/>
      <c r="M25" s="27"/>
      <c r="N25" s="27"/>
      <c r="O25" s="27"/>
      <c r="P25" s="27"/>
      <c r="Q25" s="27"/>
      <c r="R25" s="27"/>
      <c r="S25" s="27"/>
      <c r="T25" s="27"/>
      <c r="U25" s="27"/>
      <c r="V25" s="27"/>
      <c r="W25" s="27"/>
      <c r="X25" s="27"/>
      <c r="Y25" s="27"/>
      <c r="Z25" s="27"/>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row>
    <row r="26" spans="1:201" s="18" customFormat="1" ht="103.5" customHeight="1" x14ac:dyDescent="0.2">
      <c r="A26" s="65" t="s">
        <v>31</v>
      </c>
      <c r="B26" s="18" t="s">
        <v>370</v>
      </c>
      <c r="C26" s="64" t="s">
        <v>377</v>
      </c>
      <c r="D26" s="64" t="s">
        <v>385</v>
      </c>
      <c r="E26" s="64"/>
      <c r="F26" s="64"/>
      <c r="G26" s="64"/>
      <c r="H26" s="64"/>
      <c r="I26" s="64"/>
      <c r="J26" s="64"/>
      <c r="K26" s="64"/>
      <c r="L26" s="64"/>
      <c r="M26" s="64"/>
      <c r="N26" s="64"/>
      <c r="O26" s="64"/>
      <c r="P26" s="64"/>
      <c r="Q26" s="64"/>
      <c r="R26" s="33"/>
      <c r="S26" s="33"/>
      <c r="T26" s="33"/>
      <c r="U26" s="64"/>
      <c r="V26" s="33"/>
      <c r="W26" s="33"/>
      <c r="X26" s="33"/>
      <c r="Y26" s="33"/>
      <c r="Z26" s="33"/>
      <c r="AA26" s="65"/>
      <c r="AB26" s="23"/>
      <c r="AC26" s="23"/>
      <c r="AD26" s="23"/>
      <c r="AE26" s="23"/>
      <c r="AF26" s="23"/>
      <c r="AG26" s="23"/>
      <c r="AH26" s="23"/>
      <c r="AI26" s="23"/>
      <c r="AJ26" s="23"/>
      <c r="AL26" s="65"/>
      <c r="AM26" s="65"/>
      <c r="AN26" s="65"/>
      <c r="AO26" s="65"/>
      <c r="BC26" s="23"/>
      <c r="DJ26" s="65"/>
      <c r="DK26" s="65"/>
      <c r="FT26" s="19"/>
      <c r="FU26" s="19"/>
      <c r="FV26" s="19"/>
      <c r="FW26" s="19"/>
      <c r="FX26" s="19"/>
      <c r="FY26" s="19"/>
      <c r="FZ26" s="19"/>
      <c r="GA26" s="19"/>
      <c r="GB26" s="20"/>
      <c r="GC26" s="19"/>
      <c r="GD26" s="19"/>
      <c r="GE26" s="19"/>
      <c r="GF26" s="19"/>
      <c r="GG26" s="19"/>
      <c r="GH26" s="19"/>
      <c r="GI26" s="19"/>
      <c r="GJ26" s="19"/>
      <c r="GK26" s="19"/>
      <c r="GL26" s="19"/>
      <c r="GM26" s="19"/>
      <c r="GN26" s="19"/>
      <c r="GO26" s="19"/>
      <c r="GP26" s="19"/>
      <c r="GQ26" s="19"/>
      <c r="GR26" s="70"/>
      <c r="GS26" s="70"/>
    </row>
    <row r="27" spans="1:201" s="18" customFormat="1" x14ac:dyDescent="0.25">
      <c r="A27" s="96" t="s">
        <v>32</v>
      </c>
      <c r="B27" s="29"/>
      <c r="C27" s="29"/>
      <c r="D27" s="29"/>
      <c r="E27" s="29"/>
      <c r="F27" s="29"/>
      <c r="G27" s="29"/>
      <c r="H27" s="29"/>
      <c r="I27" s="29"/>
      <c r="J27" s="64"/>
      <c r="K27" s="29"/>
      <c r="L27" s="29"/>
      <c r="M27" s="29"/>
      <c r="N27" s="29"/>
      <c r="O27" s="64"/>
      <c r="P27" s="29"/>
      <c r="Q27" s="29"/>
      <c r="R27" s="29"/>
      <c r="S27" s="29"/>
      <c r="T27" s="29"/>
      <c r="U27" s="29"/>
      <c r="V27" s="29"/>
      <c r="W27" s="29"/>
      <c r="X27" s="29"/>
      <c r="Y27" s="29"/>
      <c r="Z27" s="29"/>
    </row>
    <row r="28" spans="1:201" s="6" customFormat="1" ht="12.75" customHeight="1" x14ac:dyDescent="0.25">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01" s="6" customFormat="1" ht="12.75" customHeight="1" x14ac:dyDescent="0.25">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01" s="6" customFormat="1" ht="12.75" customHeight="1" x14ac:dyDescent="0.25">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01" s="6" customFormat="1" ht="12.75" customHeight="1" x14ac:dyDescent="0.25">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01" s="6" customFormat="1" ht="12.75" customHeight="1" x14ac:dyDescent="0.25">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2:26" s="6" customFormat="1" ht="12.75" customHeight="1" x14ac:dyDescent="0.25">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2:26" s="6" customFormat="1" ht="12.75" customHeight="1" x14ac:dyDescent="0.25">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2:26" s="6" customFormat="1" ht="12.75" customHeight="1" x14ac:dyDescent="0.25">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2:26" s="6" customFormat="1" ht="12.75" customHeight="1" x14ac:dyDescent="0.25">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2:26" s="6" customFormat="1" ht="12.75" customHeight="1" x14ac:dyDescent="0.25">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2:26" s="6" customFormat="1" ht="12.75" customHeight="1" x14ac:dyDescent="0.25">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2:26" s="6" customFormat="1" ht="12.75" customHeight="1" x14ac:dyDescent="0.25">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2:26" s="6" customFormat="1" ht="12.75" customHeight="1" x14ac:dyDescent="0.25">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50" spans="1:26" ht="12.75" customHeight="1" x14ac:dyDescent="0.2">
      <c r="A50" s="39" t="s">
        <v>33</v>
      </c>
    </row>
    <row r="51" spans="1:26" s="5" customFormat="1" ht="12.75" customHeight="1" x14ac:dyDescent="0.25">
      <c r="B51" s="36" t="s">
        <v>34</v>
      </c>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2.75" customHeight="1" x14ac:dyDescent="0.2">
      <c r="B52" s="37" t="s">
        <v>35</v>
      </c>
    </row>
    <row r="53" spans="1:26" ht="12.75" customHeight="1" x14ac:dyDescent="0.2">
      <c r="B53" s="38" t="s">
        <v>36</v>
      </c>
    </row>
    <row r="54" spans="1:26" ht="12.75" customHeight="1" x14ac:dyDescent="0.2">
      <c r="B54" s="38" t="s">
        <v>8</v>
      </c>
    </row>
    <row r="55" spans="1:26" ht="12.75" customHeight="1" x14ac:dyDescent="0.2">
      <c r="B55" s="38" t="s">
        <v>37</v>
      </c>
    </row>
    <row r="56" spans="1:26" ht="12.75" customHeight="1" x14ac:dyDescent="0.2">
      <c r="B56" s="38" t="s">
        <v>7</v>
      </c>
    </row>
    <row r="57" spans="1:26" ht="12.75" customHeight="1" x14ac:dyDescent="0.2">
      <c r="B57" s="38" t="s">
        <v>38</v>
      </c>
    </row>
    <row r="58" spans="1:26" ht="12.75" customHeight="1" x14ac:dyDescent="0.2">
      <c r="B58" s="38" t="s">
        <v>39</v>
      </c>
    </row>
    <row r="59" spans="1:26" ht="12.75" customHeight="1" x14ac:dyDescent="0.2">
      <c r="B59" s="38" t="s">
        <v>40</v>
      </c>
    </row>
    <row r="60" spans="1:26" ht="12.75" customHeight="1" x14ac:dyDescent="0.2">
      <c r="B60" s="38" t="s">
        <v>41</v>
      </c>
    </row>
  </sheetData>
  <sheetProtection formatCells="0" insertHyperlinks="0"/>
  <dataValidations count="3">
    <dataValidation type="list" allowBlank="1" showInputMessage="1" showErrorMessage="1" prompt="Select from List." sqref="FT3:GS3">
      <formula1>LstSourseType</formula1>
    </dataValidation>
    <dataValidation type="list" allowBlank="1" showInputMessage="1" showErrorMessage="1" prompt="Select from list." sqref="BT16">
      <formula1>"Yes, No"</formula1>
    </dataValidation>
    <dataValidation type="list" allowBlank="1" showInputMessage="1" showErrorMessage="1" prompt="Select from List." sqref="GT3:IV3">
      <formula1>lstSourceType</formula1>
    </dataValidation>
  </dataValidations>
  <pageMargins left="0.25" right="0.25" top="0.5" bottom="0.5" header="0.3" footer="0.3"/>
  <pageSetup scale="95" orientation="landscape" r:id="rId1"/>
  <headerFooter alignWithMargins="0">
    <oddFooter>Page &amp;P&amp;R&amp;F</oddFooter>
  </headerFooter>
  <ignoredErrors>
    <ignoredError sqref="B7:D7 C16:C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49"/>
  <sheetViews>
    <sheetView workbookViewId="0">
      <selection activeCell="I16" sqref="I16"/>
    </sheetView>
  </sheetViews>
  <sheetFormatPr defaultRowHeight="12.75" x14ac:dyDescent="0.2"/>
  <cols>
    <col min="1" max="1" width="3.140625" style="1" customWidth="1"/>
    <col min="2" max="2" width="21.7109375" style="1" customWidth="1"/>
    <col min="3" max="3" width="17.85546875" style="1" customWidth="1"/>
    <col min="4" max="4" width="17" style="1" customWidth="1"/>
    <col min="5" max="5" width="21.140625" style="1" customWidth="1"/>
    <col min="6" max="7" width="22" style="1" customWidth="1"/>
    <col min="8" max="8" width="17.42578125" style="1" customWidth="1"/>
    <col min="9" max="9" width="9.140625" style="1"/>
    <col min="10" max="10" width="18.7109375" style="1" customWidth="1"/>
    <col min="11" max="11" width="25.28515625" style="1" customWidth="1"/>
    <col min="12" max="16384" width="9.140625" style="1"/>
  </cols>
  <sheetData>
    <row r="1" spans="1:39" ht="20.25" x14ac:dyDescent="0.3">
      <c r="A1" s="364" t="s">
        <v>59</v>
      </c>
      <c r="B1" s="364"/>
      <c r="C1" s="364"/>
      <c r="D1" s="364"/>
      <c r="E1" s="364"/>
      <c r="F1" s="364"/>
      <c r="G1" s="364"/>
      <c r="H1" s="364"/>
      <c r="I1" s="364"/>
      <c r="J1" s="364"/>
      <c r="K1" s="364"/>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30" customHeight="1" x14ac:dyDescent="0.25">
      <c r="A2" s="71" t="s">
        <v>134</v>
      </c>
      <c r="C2" s="72"/>
      <c r="D2" s="72"/>
      <c r="E2" s="72"/>
      <c r="F2" s="72"/>
      <c r="G2" s="72"/>
      <c r="H2" s="72"/>
    </row>
    <row r="3" spans="1:39" s="38" customFormat="1" ht="40.5" customHeight="1" x14ac:dyDescent="0.2">
      <c r="B3" s="73" t="s">
        <v>135</v>
      </c>
      <c r="C3" s="74" t="s">
        <v>136</v>
      </c>
      <c r="D3" s="74" t="s">
        <v>137</v>
      </c>
      <c r="E3" s="74" t="s">
        <v>115</v>
      </c>
      <c r="F3" s="74" t="s">
        <v>138</v>
      </c>
      <c r="G3" s="74" t="s">
        <v>139</v>
      </c>
      <c r="H3" s="74" t="s">
        <v>140</v>
      </c>
      <c r="I3" s="75" t="s">
        <v>58</v>
      </c>
      <c r="J3" s="74" t="s">
        <v>141</v>
      </c>
      <c r="K3" s="74" t="s">
        <v>142</v>
      </c>
    </row>
    <row r="4" spans="1:39" s="38" customFormat="1" ht="15" customHeight="1" x14ac:dyDescent="0.2">
      <c r="B4" s="244" t="s">
        <v>218</v>
      </c>
      <c r="C4" s="252" t="s">
        <v>386</v>
      </c>
      <c r="D4" s="252">
        <v>3</v>
      </c>
      <c r="E4" s="252">
        <v>1</v>
      </c>
      <c r="F4" s="252">
        <v>1</v>
      </c>
      <c r="G4" s="252">
        <v>1</v>
      </c>
      <c r="H4" s="252">
        <v>1</v>
      </c>
      <c r="I4" s="76" t="s">
        <v>392</v>
      </c>
      <c r="J4" s="143" t="s">
        <v>143</v>
      </c>
      <c r="K4" s="144" t="s">
        <v>144</v>
      </c>
    </row>
    <row r="5" spans="1:39" s="38" customFormat="1" ht="15" customHeight="1" x14ac:dyDescent="0.2">
      <c r="B5" s="244" t="s">
        <v>340</v>
      </c>
      <c r="C5" s="252" t="s">
        <v>386</v>
      </c>
      <c r="D5" s="252">
        <v>3</v>
      </c>
      <c r="E5" s="252">
        <v>1</v>
      </c>
      <c r="F5" s="252">
        <v>1</v>
      </c>
      <c r="G5" s="252">
        <v>1</v>
      </c>
      <c r="H5" s="252">
        <v>1</v>
      </c>
      <c r="I5" s="76" t="s">
        <v>393</v>
      </c>
      <c r="J5" s="143" t="s">
        <v>143</v>
      </c>
      <c r="K5" s="144" t="s">
        <v>144</v>
      </c>
    </row>
    <row r="6" spans="1:39" s="38" customFormat="1" ht="15" customHeight="1" x14ac:dyDescent="0.2">
      <c r="B6" s="244" t="s">
        <v>341</v>
      </c>
      <c r="C6" s="252" t="s">
        <v>386</v>
      </c>
      <c r="D6" s="252">
        <v>3</v>
      </c>
      <c r="E6" s="252">
        <v>1</v>
      </c>
      <c r="F6" s="252">
        <v>1</v>
      </c>
      <c r="G6" s="252">
        <v>1</v>
      </c>
      <c r="H6" s="252">
        <v>1</v>
      </c>
      <c r="I6" s="76" t="s">
        <v>392</v>
      </c>
      <c r="J6" s="143" t="s">
        <v>143</v>
      </c>
      <c r="K6" s="144" t="s">
        <v>144</v>
      </c>
    </row>
    <row r="7" spans="1:39" s="38" customFormat="1" x14ac:dyDescent="0.2">
      <c r="B7" s="244" t="s">
        <v>342</v>
      </c>
      <c r="C7" s="89" t="s">
        <v>386</v>
      </c>
      <c r="D7" s="252">
        <v>3</v>
      </c>
      <c r="E7" s="252">
        <v>1</v>
      </c>
      <c r="F7" s="252">
        <v>1</v>
      </c>
      <c r="G7" s="252">
        <v>1</v>
      </c>
      <c r="H7" s="252">
        <v>1</v>
      </c>
      <c r="I7" s="76" t="s">
        <v>216</v>
      </c>
      <c r="J7" s="143" t="s">
        <v>143</v>
      </c>
      <c r="K7" s="144" t="s">
        <v>144</v>
      </c>
    </row>
    <row r="8" spans="1:39" s="38" customFormat="1" x14ac:dyDescent="0.2">
      <c r="B8" s="244" t="s">
        <v>350</v>
      </c>
      <c r="C8" s="152" t="s">
        <v>386</v>
      </c>
      <c r="D8" s="252">
        <v>3</v>
      </c>
      <c r="E8" s="252">
        <v>1</v>
      </c>
      <c r="F8" s="252">
        <v>1</v>
      </c>
      <c r="G8" s="252">
        <v>1</v>
      </c>
      <c r="H8" s="252">
        <v>1</v>
      </c>
      <c r="I8" s="76" t="s">
        <v>215</v>
      </c>
      <c r="J8" s="143" t="s">
        <v>143</v>
      </c>
      <c r="K8" s="144" t="s">
        <v>144</v>
      </c>
    </row>
    <row r="9" spans="1:39" s="38" customFormat="1" ht="15" x14ac:dyDescent="0.25">
      <c r="B9" s="221" t="s">
        <v>343</v>
      </c>
      <c r="C9" s="152" t="s">
        <v>386</v>
      </c>
      <c r="D9" s="252">
        <v>3</v>
      </c>
      <c r="E9" s="252">
        <v>1</v>
      </c>
      <c r="F9" s="252">
        <v>1</v>
      </c>
      <c r="G9" s="252">
        <v>1</v>
      </c>
      <c r="H9" s="252">
        <v>1</v>
      </c>
      <c r="I9" s="76" t="s">
        <v>394</v>
      </c>
      <c r="J9" s="143" t="s">
        <v>143</v>
      </c>
      <c r="K9" s="144" t="s">
        <v>144</v>
      </c>
    </row>
    <row r="10" spans="1:39" s="38" customFormat="1" ht="12.75" customHeight="1" x14ac:dyDescent="0.2">
      <c r="B10" s="258" t="s">
        <v>100</v>
      </c>
      <c r="C10" s="77"/>
      <c r="D10" s="77"/>
      <c r="E10" s="77"/>
      <c r="F10" s="77"/>
      <c r="G10" s="77"/>
      <c r="H10" s="77"/>
      <c r="I10" s="78" t="s">
        <v>215</v>
      </c>
      <c r="J10" s="365" t="s">
        <v>221</v>
      </c>
      <c r="K10" s="365"/>
    </row>
    <row r="11" spans="1:39" ht="20.25" x14ac:dyDescent="0.3">
      <c r="B11" s="12"/>
      <c r="C11" s="12"/>
      <c r="D11" s="12"/>
      <c r="E11" s="12"/>
      <c r="F11" s="12"/>
      <c r="G11" s="12"/>
      <c r="H11" s="12"/>
      <c r="I11" s="15"/>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row>
    <row r="12" spans="1:39" ht="20.25" x14ac:dyDescent="0.3">
      <c r="A12" s="71" t="s">
        <v>145</v>
      </c>
      <c r="C12" s="12"/>
      <c r="D12" s="12"/>
      <c r="E12" s="12"/>
      <c r="F12" s="12"/>
      <c r="G12" s="12"/>
      <c r="H12" s="15"/>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row>
    <row r="13" spans="1:39" s="80" customFormat="1" ht="13.5" thickBot="1" x14ac:dyDescent="0.25">
      <c r="A13" s="79" t="s">
        <v>146</v>
      </c>
    </row>
    <row r="14" spans="1:39" ht="17.25" customHeight="1" thickBot="1" x14ac:dyDescent="0.25">
      <c r="B14" s="366" t="s">
        <v>147</v>
      </c>
      <c r="C14" s="368" t="s">
        <v>148</v>
      </c>
      <c r="D14" s="369"/>
      <c r="E14" s="369"/>
      <c r="F14" s="369"/>
      <c r="G14" s="370"/>
    </row>
    <row r="15" spans="1:39" ht="13.5" thickBot="1" x14ac:dyDescent="0.25">
      <c r="B15" s="367"/>
      <c r="C15" s="81">
        <v>1</v>
      </c>
      <c r="D15" s="81">
        <v>2</v>
      </c>
      <c r="E15" s="81">
        <v>3</v>
      </c>
      <c r="F15" s="81">
        <v>4</v>
      </c>
      <c r="G15" s="81">
        <v>5</v>
      </c>
    </row>
    <row r="16" spans="1:39" ht="72.75" thickBot="1" x14ac:dyDescent="0.25">
      <c r="B16" s="371" t="s">
        <v>149</v>
      </c>
      <c r="C16" s="82" t="s">
        <v>150</v>
      </c>
      <c r="D16" s="82" t="s">
        <v>151</v>
      </c>
      <c r="E16" s="82" t="s">
        <v>152</v>
      </c>
      <c r="F16" s="82" t="s">
        <v>153</v>
      </c>
      <c r="G16" s="82" t="s">
        <v>154</v>
      </c>
    </row>
    <row r="17" spans="1:18" ht="24" customHeight="1" thickBot="1" x14ac:dyDescent="0.25">
      <c r="B17" s="372"/>
      <c r="C17" s="356" t="s">
        <v>155</v>
      </c>
      <c r="D17" s="357"/>
      <c r="E17" s="356" t="s">
        <v>156</v>
      </c>
      <c r="F17" s="374"/>
      <c r="G17" s="357"/>
    </row>
    <row r="18" spans="1:18" ht="36.75" thickBot="1" x14ac:dyDescent="0.25">
      <c r="B18" s="373"/>
      <c r="C18" s="83" t="s">
        <v>157</v>
      </c>
      <c r="D18" s="375" t="s">
        <v>158</v>
      </c>
      <c r="E18" s="376"/>
      <c r="F18" s="377" t="s">
        <v>159</v>
      </c>
      <c r="G18" s="378"/>
    </row>
    <row r="19" spans="1:18" ht="60.75" thickBot="1" x14ac:dyDescent="0.25">
      <c r="B19" s="84" t="s">
        <v>115</v>
      </c>
      <c r="C19" s="82" t="s">
        <v>160</v>
      </c>
      <c r="D19" s="82" t="s">
        <v>161</v>
      </c>
      <c r="E19" s="82" t="s">
        <v>162</v>
      </c>
      <c r="F19" s="82" t="s">
        <v>163</v>
      </c>
      <c r="G19" s="82" t="s">
        <v>164</v>
      </c>
    </row>
    <row r="20" spans="1:18" ht="44.25" customHeight="1" thickBot="1" x14ac:dyDescent="0.25">
      <c r="B20" s="84" t="s">
        <v>138</v>
      </c>
      <c r="C20" s="82" t="s">
        <v>165</v>
      </c>
      <c r="D20" s="82" t="s">
        <v>166</v>
      </c>
      <c r="E20" s="82" t="s">
        <v>167</v>
      </c>
      <c r="F20" s="82" t="s">
        <v>168</v>
      </c>
      <c r="G20" s="82" t="s">
        <v>169</v>
      </c>
    </row>
    <row r="21" spans="1:18" ht="44.25" customHeight="1" thickBot="1" x14ac:dyDescent="0.25">
      <c r="B21" s="84" t="s">
        <v>139</v>
      </c>
      <c r="C21" s="82" t="s">
        <v>170</v>
      </c>
      <c r="D21" s="82" t="s">
        <v>171</v>
      </c>
      <c r="E21" s="82" t="s">
        <v>172</v>
      </c>
      <c r="F21" s="82" t="s">
        <v>173</v>
      </c>
      <c r="G21" s="82" t="s">
        <v>174</v>
      </c>
    </row>
    <row r="22" spans="1:18" ht="44.25" customHeight="1" thickBot="1" x14ac:dyDescent="0.25">
      <c r="B22" s="84" t="s">
        <v>175</v>
      </c>
      <c r="C22" s="82" t="s">
        <v>176</v>
      </c>
      <c r="D22" s="356" t="s">
        <v>177</v>
      </c>
      <c r="E22" s="357"/>
      <c r="F22" s="82" t="s">
        <v>178</v>
      </c>
      <c r="G22" s="82" t="s">
        <v>179</v>
      </c>
    </row>
    <row r="23" spans="1:18" x14ac:dyDescent="0.2">
      <c r="B23" s="85"/>
      <c r="C23" s="86"/>
      <c r="D23" s="86"/>
      <c r="E23" s="86"/>
      <c r="F23" s="86"/>
      <c r="G23" s="86"/>
    </row>
    <row r="24" spans="1:18" s="40" customFormat="1" ht="15" x14ac:dyDescent="0.25">
      <c r="A24" s="102" t="s">
        <v>180</v>
      </c>
      <c r="C24" s="92"/>
      <c r="D24" s="92"/>
      <c r="E24" s="92"/>
      <c r="F24" s="92"/>
      <c r="G24" s="92"/>
      <c r="H24" s="92"/>
      <c r="I24" s="92"/>
      <c r="J24" s="92"/>
      <c r="K24" s="92"/>
      <c r="L24" s="92"/>
      <c r="M24" s="92"/>
      <c r="N24" s="92"/>
      <c r="O24" s="92"/>
      <c r="P24" s="92"/>
      <c r="Q24" s="92"/>
      <c r="R24" s="92"/>
    </row>
    <row r="25" spans="1:18" s="40" customFormat="1" ht="15" x14ac:dyDescent="0.25">
      <c r="B25" s="103" t="s">
        <v>181</v>
      </c>
      <c r="C25" s="104"/>
      <c r="D25" s="104"/>
      <c r="E25" s="104"/>
      <c r="F25" s="104"/>
      <c r="G25" s="104"/>
      <c r="H25" s="105"/>
      <c r="I25" s="92"/>
      <c r="J25" s="92"/>
      <c r="K25" s="92"/>
      <c r="L25" s="92"/>
      <c r="M25" s="92"/>
      <c r="N25" s="92"/>
      <c r="O25" s="92"/>
      <c r="P25" s="92"/>
      <c r="Q25" s="92"/>
      <c r="R25" s="92"/>
    </row>
    <row r="26" spans="1:18" s="40" customFormat="1" ht="65.25" customHeight="1" x14ac:dyDescent="0.25">
      <c r="B26" s="106"/>
      <c r="C26" s="342" t="s">
        <v>190</v>
      </c>
      <c r="D26" s="343"/>
      <c r="E26" s="343"/>
      <c r="F26" s="343"/>
      <c r="G26" s="343"/>
      <c r="H26" s="344"/>
      <c r="N26" s="107"/>
      <c r="O26" s="107"/>
      <c r="P26" s="107"/>
      <c r="Q26" s="107"/>
      <c r="R26" s="107"/>
    </row>
    <row r="27" spans="1:18" s="40" customFormat="1" ht="15" x14ac:dyDescent="0.25">
      <c r="B27" s="106"/>
      <c r="C27" s="108" t="s">
        <v>191</v>
      </c>
      <c r="D27" s="109"/>
      <c r="E27" s="109"/>
      <c r="F27" s="109"/>
      <c r="G27" s="109"/>
      <c r="H27" s="110"/>
      <c r="I27" s="92"/>
      <c r="J27" s="92"/>
      <c r="K27" s="92"/>
      <c r="L27" s="92"/>
      <c r="M27" s="92"/>
      <c r="N27" s="92"/>
      <c r="O27" s="92"/>
      <c r="P27" s="92"/>
      <c r="Q27" s="92"/>
      <c r="R27" s="92"/>
    </row>
    <row r="28" spans="1:18" s="40" customFormat="1" ht="15" x14ac:dyDescent="0.25">
      <c r="B28" s="106"/>
      <c r="C28" s="111" t="s">
        <v>192</v>
      </c>
      <c r="D28" s="112"/>
      <c r="E28" s="112"/>
      <c r="F28" s="112"/>
      <c r="G28" s="112"/>
      <c r="H28" s="113"/>
      <c r="I28" s="92"/>
      <c r="J28" s="92"/>
      <c r="K28" s="92"/>
      <c r="L28" s="92"/>
      <c r="M28" s="92"/>
      <c r="N28" s="92"/>
      <c r="O28" s="92"/>
      <c r="P28" s="92"/>
      <c r="Q28" s="92"/>
      <c r="R28" s="92"/>
    </row>
    <row r="29" spans="1:18" s="40" customFormat="1" ht="15" x14ac:dyDescent="0.25">
      <c r="B29" s="106"/>
      <c r="C29" s="111" t="s">
        <v>193</v>
      </c>
      <c r="D29" s="112"/>
      <c r="E29" s="112"/>
      <c r="F29" s="112"/>
      <c r="G29" s="112"/>
      <c r="H29" s="113"/>
      <c r="I29" s="92"/>
      <c r="J29" s="92"/>
      <c r="K29" s="92"/>
      <c r="L29" s="92"/>
      <c r="M29" s="92"/>
      <c r="N29" s="92"/>
      <c r="O29" s="92"/>
      <c r="P29" s="92"/>
      <c r="Q29" s="92"/>
      <c r="R29" s="92"/>
    </row>
    <row r="30" spans="1:18" s="40" customFormat="1" ht="15" x14ac:dyDescent="0.25">
      <c r="B30" s="106"/>
      <c r="C30" s="111" t="s">
        <v>194</v>
      </c>
      <c r="D30" s="112"/>
      <c r="E30" s="112"/>
      <c r="F30" s="112"/>
      <c r="G30" s="112"/>
      <c r="H30" s="113"/>
      <c r="I30" s="92"/>
      <c r="J30" s="92"/>
      <c r="K30" s="92"/>
      <c r="L30" s="92"/>
      <c r="M30" s="92"/>
      <c r="N30" s="92"/>
      <c r="O30" s="92"/>
      <c r="P30" s="92"/>
      <c r="Q30" s="92"/>
      <c r="R30" s="92"/>
    </row>
    <row r="31" spans="1:18" s="40" customFormat="1" ht="15" x14ac:dyDescent="0.25">
      <c r="B31" s="106"/>
      <c r="C31" s="111" t="s">
        <v>195</v>
      </c>
      <c r="D31" s="112"/>
      <c r="E31" s="112"/>
      <c r="F31" s="112"/>
      <c r="G31" s="112"/>
      <c r="H31" s="113"/>
      <c r="I31" s="92"/>
      <c r="J31" s="92"/>
      <c r="K31" s="92"/>
      <c r="L31" s="92"/>
      <c r="M31" s="92"/>
      <c r="N31" s="92"/>
      <c r="O31" s="92"/>
      <c r="P31" s="92"/>
      <c r="Q31" s="92"/>
      <c r="R31" s="92"/>
    </row>
    <row r="32" spans="1:18" s="40" customFormat="1" ht="41.25" customHeight="1" x14ac:dyDescent="0.25">
      <c r="B32" s="106"/>
      <c r="C32" s="353" t="s">
        <v>182</v>
      </c>
      <c r="D32" s="354"/>
      <c r="E32" s="354"/>
      <c r="F32" s="354"/>
      <c r="G32" s="354"/>
      <c r="H32" s="355"/>
      <c r="N32" s="114"/>
      <c r="O32" s="114"/>
      <c r="P32" s="114"/>
      <c r="Q32" s="92"/>
      <c r="R32" s="92"/>
    </row>
    <row r="33" spans="1:18" s="40" customFormat="1" ht="38.25" customHeight="1" x14ac:dyDescent="0.25">
      <c r="B33" s="115"/>
      <c r="C33" s="342" t="s">
        <v>196</v>
      </c>
      <c r="D33" s="343"/>
      <c r="E33" s="343"/>
      <c r="F33" s="343"/>
      <c r="G33" s="343"/>
      <c r="H33" s="344"/>
      <c r="N33" s="107"/>
      <c r="O33" s="107"/>
      <c r="P33" s="107"/>
      <c r="Q33" s="107"/>
      <c r="R33" s="92"/>
    </row>
    <row r="34" spans="1:18" s="40" customFormat="1" ht="43.5" customHeight="1" x14ac:dyDescent="0.25">
      <c r="B34" s="342" t="s">
        <v>183</v>
      </c>
      <c r="C34" s="343"/>
      <c r="D34" s="343"/>
      <c r="E34" s="343"/>
      <c r="F34" s="343"/>
      <c r="G34" s="343"/>
      <c r="H34" s="344"/>
      <c r="I34" s="92"/>
      <c r="J34" s="92"/>
      <c r="K34" s="92"/>
      <c r="L34" s="92"/>
      <c r="M34" s="92"/>
      <c r="N34" s="92"/>
      <c r="O34" s="92"/>
      <c r="P34" s="92"/>
      <c r="Q34" s="92"/>
      <c r="R34" s="92"/>
    </row>
    <row r="35" spans="1:18" s="40" customFormat="1" ht="49.5" customHeight="1" x14ac:dyDescent="0.25">
      <c r="B35" s="342" t="s">
        <v>197</v>
      </c>
      <c r="C35" s="343"/>
      <c r="D35" s="343"/>
      <c r="E35" s="343"/>
      <c r="F35" s="343"/>
      <c r="G35" s="343"/>
      <c r="H35" s="344"/>
      <c r="I35" s="116"/>
    </row>
    <row r="36" spans="1:18" s="40" customFormat="1" ht="46.5" customHeight="1" x14ac:dyDescent="0.25">
      <c r="B36" s="342" t="s">
        <v>184</v>
      </c>
      <c r="C36" s="343"/>
      <c r="D36" s="343"/>
      <c r="E36" s="343"/>
      <c r="F36" s="343"/>
      <c r="G36" s="343"/>
      <c r="H36" s="344"/>
      <c r="I36" s="116"/>
    </row>
    <row r="37" spans="1:18" s="40" customFormat="1" ht="30" customHeight="1" x14ac:dyDescent="0.25">
      <c r="B37" s="342" t="s">
        <v>185</v>
      </c>
      <c r="C37" s="343"/>
      <c r="D37" s="343"/>
      <c r="E37" s="343"/>
      <c r="F37" s="343"/>
      <c r="G37" s="343"/>
      <c r="H37" s="344"/>
      <c r="I37" s="116"/>
    </row>
    <row r="38" spans="1:18" s="40" customFormat="1" ht="15" customHeight="1" x14ac:dyDescent="0.25">
      <c r="A38" s="117" t="s">
        <v>186</v>
      </c>
      <c r="B38" s="117"/>
      <c r="I38" s="118"/>
    </row>
    <row r="39" spans="1:18" s="40" customFormat="1" ht="30" customHeight="1" x14ac:dyDescent="0.25">
      <c r="B39" s="359" t="s">
        <v>198</v>
      </c>
      <c r="C39" s="360"/>
      <c r="D39" s="360"/>
      <c r="E39" s="360"/>
      <c r="F39" s="360"/>
      <c r="G39" s="360"/>
      <c r="H39" s="361"/>
    </row>
    <row r="40" spans="1:18" s="40" customFormat="1" ht="12.75" customHeight="1" x14ac:dyDescent="0.25">
      <c r="B40" s="362" t="s">
        <v>199</v>
      </c>
      <c r="C40" s="363"/>
      <c r="D40" s="363"/>
      <c r="E40" s="363"/>
      <c r="F40" s="363"/>
      <c r="G40" s="119"/>
      <c r="H40" s="120"/>
    </row>
    <row r="41" spans="1:18" s="40" customFormat="1" ht="29.25" customHeight="1" x14ac:dyDescent="0.25">
      <c r="B41" s="345" t="s">
        <v>200</v>
      </c>
      <c r="C41" s="346"/>
      <c r="D41" s="346"/>
      <c r="E41" s="346"/>
      <c r="F41" s="346"/>
      <c r="G41" s="346"/>
      <c r="H41" s="347"/>
    </row>
    <row r="42" spans="1:18" s="40" customFormat="1" ht="15" customHeight="1" x14ac:dyDescent="0.25">
      <c r="B42" s="121" t="s">
        <v>187</v>
      </c>
      <c r="C42" s="119"/>
      <c r="D42" s="119"/>
      <c r="E42" s="119"/>
      <c r="F42" s="119"/>
      <c r="G42" s="119"/>
      <c r="H42" s="120"/>
    </row>
    <row r="43" spans="1:18" s="40" customFormat="1" ht="30.75" customHeight="1" x14ac:dyDescent="0.25">
      <c r="B43" s="345" t="s">
        <v>188</v>
      </c>
      <c r="C43" s="346"/>
      <c r="D43" s="346"/>
      <c r="E43" s="346"/>
      <c r="F43" s="346"/>
      <c r="G43" s="346"/>
      <c r="H43" s="347"/>
    </row>
    <row r="44" spans="1:18" s="40" customFormat="1" ht="12.75" customHeight="1" x14ac:dyDescent="0.25">
      <c r="B44" s="348" t="s">
        <v>201</v>
      </c>
      <c r="C44" s="349"/>
      <c r="D44" s="349"/>
      <c r="E44" s="349"/>
      <c r="F44" s="349"/>
      <c r="G44" s="349"/>
      <c r="H44" s="120"/>
    </row>
    <row r="45" spans="1:18" s="40" customFormat="1" ht="35.25" customHeight="1" x14ac:dyDescent="0.25">
      <c r="B45" s="345" t="s">
        <v>202</v>
      </c>
      <c r="C45" s="346"/>
      <c r="D45" s="346"/>
      <c r="E45" s="346"/>
      <c r="F45" s="346"/>
      <c r="G45" s="346"/>
      <c r="H45" s="347"/>
    </row>
    <row r="46" spans="1:18" s="40" customFormat="1" ht="24.75" customHeight="1" x14ac:dyDescent="0.25">
      <c r="B46" s="350" t="s">
        <v>203</v>
      </c>
      <c r="C46" s="351"/>
      <c r="D46" s="351"/>
      <c r="E46" s="351"/>
      <c r="F46" s="351"/>
      <c r="G46" s="351"/>
      <c r="H46" s="352"/>
    </row>
    <row r="47" spans="1:18" s="40" customFormat="1" ht="27.75" customHeight="1" x14ac:dyDescent="0.25">
      <c r="B47" s="353" t="s">
        <v>189</v>
      </c>
      <c r="C47" s="354"/>
      <c r="D47" s="354"/>
      <c r="E47" s="354"/>
      <c r="F47" s="354"/>
      <c r="G47" s="354"/>
      <c r="H47" s="355"/>
    </row>
    <row r="48" spans="1:18" s="40" customFormat="1" ht="21" customHeight="1" x14ac:dyDescent="0.25">
      <c r="B48" s="342" t="s">
        <v>204</v>
      </c>
      <c r="C48" s="343"/>
      <c r="D48" s="343"/>
      <c r="E48" s="343"/>
      <c r="F48" s="343"/>
      <c r="G48" s="343"/>
      <c r="H48" s="344"/>
    </row>
    <row r="49" spans="2:8" s="40" customFormat="1" ht="26.25" customHeight="1" x14ac:dyDescent="0.25">
      <c r="B49" s="358" t="s">
        <v>205</v>
      </c>
      <c r="C49" s="358"/>
      <c r="D49" s="358"/>
      <c r="E49" s="358"/>
      <c r="F49" s="358"/>
      <c r="G49" s="358"/>
      <c r="H49" s="358"/>
    </row>
  </sheetData>
  <mergeCells count="27">
    <mergeCell ref="B35:H35"/>
    <mergeCell ref="A1:K1"/>
    <mergeCell ref="J10:K10"/>
    <mergeCell ref="B14:B15"/>
    <mergeCell ref="C14:G14"/>
    <mergeCell ref="B16:B18"/>
    <mergeCell ref="C17:D17"/>
    <mergeCell ref="E17:G17"/>
    <mergeCell ref="D18:E18"/>
    <mergeCell ref="F18:G18"/>
    <mergeCell ref="D22:E22"/>
    <mergeCell ref="C26:H26"/>
    <mergeCell ref="C32:H32"/>
    <mergeCell ref="C33:H33"/>
    <mergeCell ref="B34:H34"/>
    <mergeCell ref="B49:H49"/>
    <mergeCell ref="B36:H36"/>
    <mergeCell ref="B37:H37"/>
    <mergeCell ref="B39:H39"/>
    <mergeCell ref="B40:F40"/>
    <mergeCell ref="B48:H48"/>
    <mergeCell ref="B41:H41"/>
    <mergeCell ref="B43:H43"/>
    <mergeCell ref="B44:G44"/>
    <mergeCell ref="B45:H45"/>
    <mergeCell ref="B46:H46"/>
    <mergeCell ref="B47:H47"/>
  </mergeCells>
  <pageMargins left="0.7" right="0.7" top="0.75" bottom="0.75" header="0.3" footer="0.3"/>
  <pageSetup paperSize="3" orientation="landscape" r:id="rId1"/>
  <headerFooter>
    <oddFooter>Page &amp;P&amp;R&amp;F</oddFooter>
  </headerFooter>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
  <sheetViews>
    <sheetView workbookViewId="0">
      <selection activeCell="I40" sqref="I40"/>
    </sheetView>
  </sheetViews>
  <sheetFormatPr defaultRowHeight="15" x14ac:dyDescent="0.25"/>
  <sheetData>
    <row r="1" spans="1:12" ht="20.25" x14ac:dyDescent="0.3">
      <c r="B1" s="364" t="s">
        <v>331</v>
      </c>
      <c r="C1" s="364"/>
      <c r="D1" s="364"/>
      <c r="E1" s="364"/>
      <c r="F1" s="364"/>
      <c r="G1" s="364"/>
      <c r="H1" s="364"/>
      <c r="I1" s="364"/>
      <c r="J1" s="364"/>
      <c r="K1" s="364"/>
      <c r="L1" s="364"/>
    </row>
    <row r="3" spans="1:12" x14ac:dyDescent="0.25">
      <c r="A3" t="s">
        <v>371</v>
      </c>
    </row>
  </sheetData>
  <mergeCells count="1">
    <mergeCell ref="B1:L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K13"/>
  <sheetViews>
    <sheetView topLeftCell="A85" workbookViewId="0">
      <selection activeCell="E11" sqref="E11"/>
    </sheetView>
  </sheetViews>
  <sheetFormatPr defaultRowHeight="15" x14ac:dyDescent="0.25"/>
  <cols>
    <col min="1" max="1" width="31.7109375" customWidth="1"/>
    <col min="2" max="2" width="11" customWidth="1"/>
  </cols>
  <sheetData>
    <row r="1" spans="1:11" ht="20.25" x14ac:dyDescent="0.3">
      <c r="A1" s="364" t="s">
        <v>339</v>
      </c>
      <c r="B1" s="364"/>
      <c r="C1" s="364"/>
      <c r="D1" s="364"/>
      <c r="E1" s="364"/>
      <c r="F1" s="364"/>
      <c r="G1" s="364"/>
      <c r="H1" s="364"/>
      <c r="I1" s="364"/>
      <c r="J1" s="364"/>
      <c r="K1" s="364"/>
    </row>
    <row r="2" spans="1:11" ht="15.75" thickBot="1" x14ac:dyDescent="0.3">
      <c r="A2" t="s">
        <v>372</v>
      </c>
    </row>
    <row r="3" spans="1:11" x14ac:dyDescent="0.25">
      <c r="A3" s="226" t="s">
        <v>332</v>
      </c>
      <c r="B3" s="227" t="s">
        <v>97</v>
      </c>
    </row>
    <row r="4" spans="1:11" ht="30" x14ac:dyDescent="0.25">
      <c r="A4" s="228" t="s">
        <v>333</v>
      </c>
      <c r="B4" s="229" t="s">
        <v>232</v>
      </c>
    </row>
    <row r="5" spans="1:11" ht="30" x14ac:dyDescent="0.25">
      <c r="A5" s="230" t="s">
        <v>334</v>
      </c>
      <c r="B5" s="229" t="s">
        <v>234</v>
      </c>
    </row>
    <row r="6" spans="1:11" ht="30" x14ac:dyDescent="0.25">
      <c r="A6" s="230" t="s">
        <v>335</v>
      </c>
      <c r="B6" s="229" t="s">
        <v>250</v>
      </c>
    </row>
    <row r="7" spans="1:11" x14ac:dyDescent="0.25">
      <c r="A7" s="230" t="s">
        <v>336</v>
      </c>
      <c r="B7" s="229" t="s">
        <v>236</v>
      </c>
    </row>
    <row r="8" spans="1:11" ht="60" x14ac:dyDescent="0.25">
      <c r="A8" s="230" t="s">
        <v>364</v>
      </c>
      <c r="B8" s="229" t="s">
        <v>238</v>
      </c>
    </row>
    <row r="9" spans="1:11" ht="32.25" x14ac:dyDescent="0.25">
      <c r="A9" s="230" t="s">
        <v>337</v>
      </c>
      <c r="B9" s="229" t="s">
        <v>240</v>
      </c>
    </row>
    <row r="10" spans="1:11" x14ac:dyDescent="0.25">
      <c r="A10" s="230" t="s">
        <v>338</v>
      </c>
      <c r="B10" s="229" t="s">
        <v>242</v>
      </c>
    </row>
    <row r="11" spans="1:11" s="40" customFormat="1" ht="60" x14ac:dyDescent="0.25">
      <c r="A11" s="230" t="s">
        <v>414</v>
      </c>
      <c r="B11" s="229" t="s">
        <v>413</v>
      </c>
    </row>
    <row r="12" spans="1:11" ht="60" x14ac:dyDescent="0.25">
      <c r="A12" s="230" t="s">
        <v>415</v>
      </c>
      <c r="B12" s="229" t="s">
        <v>244</v>
      </c>
    </row>
    <row r="13" spans="1:11" ht="48" thickBot="1" x14ac:dyDescent="0.3">
      <c r="A13" s="231" t="s">
        <v>357</v>
      </c>
      <c r="B13" s="232" t="s">
        <v>246</v>
      </c>
    </row>
  </sheetData>
  <mergeCells count="1">
    <mergeCell ref="A1:K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Y139"/>
  <sheetViews>
    <sheetView topLeftCell="A24" zoomScale="115" zoomScaleNormal="115" workbookViewId="0">
      <selection activeCell="B66" sqref="B66"/>
    </sheetView>
  </sheetViews>
  <sheetFormatPr defaultRowHeight="15" x14ac:dyDescent="0.25"/>
  <cols>
    <col min="1" max="1" width="29" style="40" customWidth="1"/>
    <col min="2" max="2" width="19.28515625" style="40" customWidth="1"/>
    <col min="3" max="3" width="16.140625" style="40" customWidth="1"/>
    <col min="4" max="4" width="15.28515625" style="40" customWidth="1"/>
    <col min="5" max="5" width="22.85546875" style="40" customWidth="1"/>
    <col min="6" max="6" width="19.7109375" style="40" customWidth="1"/>
    <col min="7" max="7" width="19" style="40" customWidth="1"/>
    <col min="8" max="8" width="23.7109375" style="40" bestFit="1" customWidth="1"/>
    <col min="9" max="9" width="14.28515625" style="40" customWidth="1"/>
    <col min="10" max="10" width="16.85546875" style="40" customWidth="1"/>
    <col min="11" max="11" width="16.7109375" style="40" customWidth="1"/>
    <col min="12" max="12" width="14.140625" style="40" customWidth="1"/>
    <col min="13" max="13" width="22.42578125" style="40" customWidth="1"/>
    <col min="14" max="14" width="16.85546875" style="40" customWidth="1"/>
    <col min="15" max="15" width="19" style="40" customWidth="1"/>
    <col min="16" max="16" width="14.7109375" style="40" customWidth="1"/>
    <col min="17" max="17" width="20.85546875" style="40" customWidth="1"/>
    <col min="18" max="18" width="14.5703125" style="40" customWidth="1"/>
    <col min="19" max="19" width="13.140625" style="40" customWidth="1"/>
    <col min="20" max="20" width="12.7109375" style="40" bestFit="1" customWidth="1"/>
    <col min="21" max="21" width="15" style="40" customWidth="1"/>
    <col min="22" max="22" width="14.85546875" style="40" customWidth="1"/>
    <col min="23" max="23" width="13.85546875" style="40" bestFit="1" customWidth="1"/>
    <col min="24" max="24" width="15.5703125" style="40" customWidth="1"/>
    <col min="25" max="25" width="14" style="40" bestFit="1" customWidth="1"/>
    <col min="26" max="26" width="19" style="40" customWidth="1"/>
    <col min="27" max="27" width="14.28515625" style="40" customWidth="1"/>
    <col min="28" max="16384" width="9.140625" style="40"/>
  </cols>
  <sheetData>
    <row r="1" spans="1:29" ht="21" thickBot="1" x14ac:dyDescent="0.35">
      <c r="A1" s="364" t="s">
        <v>42</v>
      </c>
      <c r="B1" s="364"/>
      <c r="C1" s="364"/>
      <c r="D1" s="364"/>
      <c r="E1" s="364"/>
      <c r="F1" s="364"/>
      <c r="G1" s="364"/>
      <c r="H1" s="364"/>
      <c r="I1" s="364"/>
      <c r="J1" s="364"/>
      <c r="K1" s="364"/>
    </row>
    <row r="2" spans="1:29" ht="19.5" thickBot="1" x14ac:dyDescent="0.35">
      <c r="A2" s="155" t="s">
        <v>225</v>
      </c>
      <c r="B2" s="156"/>
      <c r="C2" s="156"/>
      <c r="D2" s="156"/>
    </row>
    <row r="3" spans="1:29" ht="17.25" x14ac:dyDescent="0.25">
      <c r="A3" s="157" t="s">
        <v>226</v>
      </c>
      <c r="B3" s="156" t="s">
        <v>418</v>
      </c>
      <c r="C3" s="156"/>
      <c r="D3" s="156"/>
      <c r="E3" s="156" t="s">
        <v>372</v>
      </c>
      <c r="F3" s="156"/>
      <c r="G3" s="156"/>
      <c r="H3" s="156"/>
      <c r="I3" s="156"/>
      <c r="J3" s="158"/>
      <c r="U3" s="262" t="s">
        <v>420</v>
      </c>
      <c r="AC3" s="262" t="s">
        <v>421</v>
      </c>
    </row>
    <row r="4" spans="1:29" x14ac:dyDescent="0.25">
      <c r="A4" s="159" t="s">
        <v>227</v>
      </c>
      <c r="B4" s="396" t="s">
        <v>253</v>
      </c>
      <c r="C4" s="397"/>
      <c r="D4" s="404" t="s">
        <v>228</v>
      </c>
      <c r="E4" s="397"/>
      <c r="F4" s="396" t="s">
        <v>229</v>
      </c>
      <c r="G4" s="397"/>
      <c r="H4" s="398"/>
      <c r="I4" s="220" t="s">
        <v>230</v>
      </c>
      <c r="J4" s="160" t="s">
        <v>92</v>
      </c>
      <c r="P4" s="40" t="s">
        <v>408</v>
      </c>
    </row>
    <row r="5" spans="1:29" x14ac:dyDescent="0.25">
      <c r="A5" s="161" t="s">
        <v>231</v>
      </c>
      <c r="B5" s="162">
        <v>33</v>
      </c>
      <c r="C5" s="162">
        <v>109</v>
      </c>
      <c r="D5" s="163"/>
      <c r="E5" s="162"/>
      <c r="F5" s="162">
        <v>164</v>
      </c>
      <c r="G5" s="162">
        <v>2</v>
      </c>
      <c r="H5" s="162">
        <v>10</v>
      </c>
      <c r="I5" s="162"/>
      <c r="J5" s="242" t="s">
        <v>345</v>
      </c>
      <c r="K5" s="40" t="s">
        <v>387</v>
      </c>
    </row>
    <row r="6" spans="1:29" x14ac:dyDescent="0.25">
      <c r="A6" s="164" t="s">
        <v>232</v>
      </c>
      <c r="B6" s="165">
        <v>1272</v>
      </c>
      <c r="C6" s="165">
        <v>4217</v>
      </c>
      <c r="D6" s="165"/>
      <c r="E6" s="165"/>
      <c r="F6" s="165">
        <v>489912</v>
      </c>
      <c r="G6" s="166">
        <v>23</v>
      </c>
      <c r="H6" s="166">
        <v>7300</v>
      </c>
      <c r="I6" s="165"/>
      <c r="J6" s="167" t="s">
        <v>425</v>
      </c>
      <c r="K6" s="40" t="s">
        <v>387</v>
      </c>
    </row>
    <row r="7" spans="1:29" x14ac:dyDescent="0.25">
      <c r="A7" s="164" t="s">
        <v>424</v>
      </c>
      <c r="B7" s="165">
        <f>B6/B5</f>
        <v>38.545454545454547</v>
      </c>
      <c r="C7" s="165">
        <f t="shared" ref="C7:H7" si="0">C6/C5</f>
        <v>38.688073394495412</v>
      </c>
      <c r="D7" s="165"/>
      <c r="E7" s="165"/>
      <c r="F7" s="165">
        <f t="shared" si="0"/>
        <v>2987.268292682927</v>
      </c>
      <c r="G7" s="165">
        <f t="shared" si="0"/>
        <v>11.5</v>
      </c>
      <c r="H7" s="165">
        <f t="shared" si="0"/>
        <v>730</v>
      </c>
      <c r="I7" s="165"/>
      <c r="J7" s="167" t="s">
        <v>233</v>
      </c>
    </row>
    <row r="8" spans="1:29" x14ac:dyDescent="0.25">
      <c r="A8" s="164" t="s">
        <v>234</v>
      </c>
      <c r="B8" s="165">
        <v>2</v>
      </c>
      <c r="C8" s="165">
        <v>2.375</v>
      </c>
      <c r="D8" s="165"/>
      <c r="E8" s="165"/>
      <c r="F8" s="165">
        <v>1.9950000000000001</v>
      </c>
      <c r="G8" s="166">
        <v>2</v>
      </c>
      <c r="H8" s="166">
        <v>2.375</v>
      </c>
      <c r="I8" s="165"/>
      <c r="J8" s="167" t="s">
        <v>235</v>
      </c>
      <c r="K8" s="40" t="s">
        <v>387</v>
      </c>
      <c r="M8" s="223"/>
      <c r="N8" s="223"/>
      <c r="O8" s="223"/>
      <c r="P8" s="165"/>
    </row>
    <row r="9" spans="1:29" x14ac:dyDescent="0.25">
      <c r="A9" s="164" t="s">
        <v>236</v>
      </c>
      <c r="B9" s="165">
        <v>3375</v>
      </c>
      <c r="C9" s="165">
        <v>3448</v>
      </c>
      <c r="D9" s="165"/>
      <c r="E9" s="165"/>
      <c r="F9" s="165">
        <v>4269</v>
      </c>
      <c r="G9" s="166">
        <v>7033</v>
      </c>
      <c r="H9" s="166">
        <v>9500</v>
      </c>
      <c r="I9" s="165"/>
      <c r="J9" s="167" t="s">
        <v>237</v>
      </c>
      <c r="K9" s="40" t="s">
        <v>387</v>
      </c>
      <c r="M9" s="223"/>
      <c r="N9" s="223"/>
      <c r="O9" s="223"/>
      <c r="P9" s="165"/>
    </row>
    <row r="10" spans="1:29" x14ac:dyDescent="0.25">
      <c r="A10" s="164" t="s">
        <v>238</v>
      </c>
      <c r="B10" s="166">
        <f>85+Conversions!D7</f>
        <v>99.7</v>
      </c>
      <c r="C10" s="165">
        <f>50+Conversions!D7</f>
        <v>64.7</v>
      </c>
      <c r="D10" s="165"/>
      <c r="E10" s="165"/>
      <c r="F10" s="165">
        <f>60.8+Conversions!D7</f>
        <v>75.5</v>
      </c>
      <c r="G10" s="165">
        <f>25.5+Conversions!D7</f>
        <v>40.200000000000003</v>
      </c>
      <c r="H10" s="165">
        <f>500+Conversions!D7</f>
        <v>514.70000000000005</v>
      </c>
      <c r="I10" s="165"/>
      <c r="J10" s="167" t="s">
        <v>239</v>
      </c>
      <c r="K10" s="40" t="s">
        <v>387</v>
      </c>
      <c r="M10" s="165"/>
      <c r="N10" s="165"/>
      <c r="O10" s="165"/>
      <c r="P10" s="165"/>
    </row>
    <row r="11" spans="1:29" ht="17.25" x14ac:dyDescent="0.25">
      <c r="A11" s="164" t="s">
        <v>240</v>
      </c>
      <c r="B11" s="168">
        <f>12830/24</f>
        <v>534.58333333333337</v>
      </c>
      <c r="C11" s="165">
        <f>7210/24</f>
        <v>300.41666666666669</v>
      </c>
      <c r="D11" s="168"/>
      <c r="E11" s="165"/>
      <c r="F11" s="165">
        <f>84000/24</f>
        <v>3500</v>
      </c>
      <c r="G11" s="165">
        <f>58430/24</f>
        <v>2434.5833333333335</v>
      </c>
      <c r="H11" s="165">
        <f>30000/24</f>
        <v>1250</v>
      </c>
      <c r="I11" s="165"/>
      <c r="J11" s="167" t="s">
        <v>241</v>
      </c>
      <c r="K11" s="40" t="s">
        <v>387</v>
      </c>
      <c r="M11" s="165"/>
      <c r="N11" s="165"/>
      <c r="O11" s="165"/>
      <c r="P11" s="165"/>
    </row>
    <row r="12" spans="1:29" x14ac:dyDescent="0.25">
      <c r="A12" s="164" t="s">
        <v>242</v>
      </c>
      <c r="B12" s="166">
        <v>1</v>
      </c>
      <c r="C12" s="166">
        <v>0.3</v>
      </c>
      <c r="D12" s="165"/>
      <c r="E12" s="165"/>
      <c r="F12" s="166">
        <v>6.7000000000000004E-2</v>
      </c>
      <c r="G12" s="166">
        <v>0.75</v>
      </c>
      <c r="H12" s="166">
        <v>0.08</v>
      </c>
      <c r="I12" s="165"/>
      <c r="J12" s="167" t="s">
        <v>243</v>
      </c>
      <c r="K12" s="40" t="s">
        <v>387</v>
      </c>
      <c r="M12" s="165"/>
      <c r="N12" s="169"/>
      <c r="O12" s="165"/>
      <c r="P12" s="165"/>
    </row>
    <row r="13" spans="1:29" x14ac:dyDescent="0.25">
      <c r="A13" s="164" t="s">
        <v>244</v>
      </c>
      <c r="B13" s="165">
        <f>IF(B12&lt;0.5,0,1)</f>
        <v>1</v>
      </c>
      <c r="C13" s="165">
        <f>IF(C12&lt;0.5,0,1)</f>
        <v>0</v>
      </c>
      <c r="D13" s="165"/>
      <c r="E13" s="165"/>
      <c r="F13" s="165">
        <f>IF(F12&lt;0.5,0,1)</f>
        <v>0</v>
      </c>
      <c r="G13" s="165">
        <f>IF(G12&lt;0.5,0,1)</f>
        <v>1</v>
      </c>
      <c r="H13" s="165">
        <f>IF(H12&lt;0.5,0,1)</f>
        <v>0</v>
      </c>
      <c r="I13" s="165"/>
      <c r="J13" s="167" t="s">
        <v>245</v>
      </c>
      <c r="K13" s="40" t="s">
        <v>387</v>
      </c>
      <c r="M13" s="165"/>
      <c r="N13" s="165"/>
      <c r="O13" s="165"/>
      <c r="P13" s="165"/>
    </row>
    <row r="14" spans="1:29" ht="17.25" x14ac:dyDescent="0.25">
      <c r="A14" s="164" t="s">
        <v>246</v>
      </c>
      <c r="B14" s="260">
        <f>((B6*0.00037*(B8^2)*B9*B10)+(B11*(B12-0.5)*B13)*B6)</f>
        <v>973452.90800000005</v>
      </c>
      <c r="C14" s="260">
        <f>((C6*0.00037*(C8^2)*C9*C10)+(C11*(C12-0.5)*C13)*C6)</f>
        <v>1963378.770741625</v>
      </c>
      <c r="D14" s="170"/>
      <c r="E14" s="165"/>
      <c r="F14" s="260">
        <f>((F6*0.00037*(F8^2)*F9*F10)+(F11*(F12-0.5)*F13)*F6)</f>
        <v>232529848.05711526</v>
      </c>
      <c r="G14" s="260">
        <f>((G6*0.00037*(G8^2)*G9*G10)+(G11*(G12-0.5)*G13)*G6)</f>
        <v>23622.867630666668</v>
      </c>
      <c r="H14" s="260">
        <f>((H6*0.00037*(H8^2)*H9*H10)+(H11*(H12-0.5)*H13)*H6)</f>
        <v>74495422.166406259</v>
      </c>
      <c r="I14" s="165"/>
      <c r="J14" s="167" t="s">
        <v>254</v>
      </c>
      <c r="K14" s="40" t="s">
        <v>387</v>
      </c>
      <c r="L14" s="188"/>
      <c r="M14" s="165"/>
      <c r="N14" s="168"/>
      <c r="O14" s="165"/>
      <c r="P14" s="165"/>
    </row>
    <row r="15" spans="1:29" ht="17.25" x14ac:dyDescent="0.25">
      <c r="A15" s="164" t="s">
        <v>247</v>
      </c>
      <c r="B15" s="169">
        <f>B14/B5</f>
        <v>29498.572969696972</v>
      </c>
      <c r="C15" s="169">
        <f>C14/C5</f>
        <v>18012.649272858944</v>
      </c>
      <c r="D15" s="169"/>
      <c r="E15" s="169"/>
      <c r="F15" s="169">
        <f>F14/F5</f>
        <v>1417864.9271775321</v>
      </c>
      <c r="G15" s="169">
        <f>G14/G5</f>
        <v>11811.433815333334</v>
      </c>
      <c r="H15" s="169">
        <f>H14/H5</f>
        <v>7449542.2166406261</v>
      </c>
      <c r="I15" s="165"/>
      <c r="J15" s="167" t="s">
        <v>255</v>
      </c>
      <c r="K15" s="40" t="s">
        <v>387</v>
      </c>
      <c r="M15" s="165"/>
      <c r="N15" s="168"/>
      <c r="O15" s="165"/>
      <c r="P15" s="165"/>
    </row>
    <row r="16" spans="1:29" x14ac:dyDescent="0.25">
      <c r="A16" s="164" t="s">
        <v>427</v>
      </c>
      <c r="B16" s="169">
        <f>B5*B11</f>
        <v>17641.25</v>
      </c>
      <c r="C16" s="169">
        <f t="shared" ref="C16:H16" si="1">C5*C11</f>
        <v>32745.416666666668</v>
      </c>
      <c r="D16" s="169"/>
      <c r="E16" s="169"/>
      <c r="F16" s="169">
        <f t="shared" si="1"/>
        <v>574000</v>
      </c>
      <c r="G16" s="169">
        <f t="shared" si="1"/>
        <v>4869.166666666667</v>
      </c>
      <c r="H16" s="169">
        <f t="shared" si="1"/>
        <v>12500</v>
      </c>
      <c r="I16" s="169"/>
      <c r="J16" s="167" t="s">
        <v>347</v>
      </c>
      <c r="M16" s="165"/>
      <c r="N16" s="168"/>
      <c r="O16" s="165"/>
      <c r="P16" s="165"/>
    </row>
    <row r="17" spans="1:26" ht="17.25" x14ac:dyDescent="0.25">
      <c r="A17" s="171" t="s">
        <v>248</v>
      </c>
      <c r="B17" s="119" t="s">
        <v>419</v>
      </c>
      <c r="C17" s="119"/>
      <c r="D17" s="119"/>
      <c r="E17" s="165" t="s">
        <v>372</v>
      </c>
      <c r="F17" s="169"/>
      <c r="G17" s="169"/>
      <c r="H17" s="169"/>
      <c r="I17" s="165"/>
      <c r="J17" s="167"/>
      <c r="M17" s="165"/>
      <c r="N17" s="168"/>
      <c r="O17" s="165"/>
      <c r="P17" s="165"/>
    </row>
    <row r="18" spans="1:26" x14ac:dyDescent="0.25">
      <c r="A18" s="159" t="s">
        <v>227</v>
      </c>
      <c r="B18" s="396" t="s">
        <v>253</v>
      </c>
      <c r="C18" s="397"/>
      <c r="D18" s="404" t="s">
        <v>228</v>
      </c>
      <c r="E18" s="397"/>
      <c r="F18" s="396" t="s">
        <v>229</v>
      </c>
      <c r="G18" s="397"/>
      <c r="H18" s="398"/>
      <c r="I18" s="220" t="s">
        <v>230</v>
      </c>
      <c r="J18" s="160" t="s">
        <v>92</v>
      </c>
      <c r="M18" s="165"/>
      <c r="N18" s="168"/>
      <c r="O18" s="166"/>
      <c r="P18" s="165"/>
    </row>
    <row r="19" spans="1:26" x14ac:dyDescent="0.25">
      <c r="A19" s="161" t="s">
        <v>231</v>
      </c>
      <c r="B19" s="172">
        <v>190</v>
      </c>
      <c r="C19" s="172">
        <v>916</v>
      </c>
      <c r="D19" s="173">
        <v>12</v>
      </c>
      <c r="E19" s="172">
        <v>6</v>
      </c>
      <c r="F19" s="172">
        <v>1</v>
      </c>
      <c r="G19" s="172">
        <v>38</v>
      </c>
      <c r="H19" s="172"/>
      <c r="I19" s="172">
        <v>220</v>
      </c>
      <c r="J19" s="242" t="s">
        <v>345</v>
      </c>
      <c r="K19" s="40" t="s">
        <v>387</v>
      </c>
      <c r="M19" s="165"/>
      <c r="N19" s="168"/>
      <c r="O19" s="165"/>
      <c r="P19" s="165"/>
      <c r="Q19" s="40" t="s">
        <v>408</v>
      </c>
    </row>
    <row r="20" spans="1:26" x14ac:dyDescent="0.25">
      <c r="A20" s="164" t="s">
        <v>232</v>
      </c>
      <c r="B20" s="165">
        <v>4335</v>
      </c>
      <c r="C20" s="165">
        <v>39668</v>
      </c>
      <c r="D20" s="165">
        <v>144</v>
      </c>
      <c r="E20" s="166">
        <v>60</v>
      </c>
      <c r="F20" s="166">
        <v>1</v>
      </c>
      <c r="G20" s="166">
        <v>2444</v>
      </c>
      <c r="H20" s="165"/>
      <c r="I20" s="166">
        <v>880</v>
      </c>
      <c r="J20" s="167" t="s">
        <v>425</v>
      </c>
      <c r="K20" s="40" t="s">
        <v>387</v>
      </c>
    </row>
    <row r="21" spans="1:26" x14ac:dyDescent="0.25">
      <c r="A21" s="164" t="s">
        <v>424</v>
      </c>
      <c r="B21" s="165">
        <f>B20/B19</f>
        <v>22.815789473684209</v>
      </c>
      <c r="C21" s="165">
        <f t="shared" ref="C21:I21" si="2">C20/C19</f>
        <v>43.305676855895193</v>
      </c>
      <c r="D21" s="165">
        <f t="shared" si="2"/>
        <v>12</v>
      </c>
      <c r="E21" s="165">
        <f t="shared" si="2"/>
        <v>10</v>
      </c>
      <c r="F21" s="165">
        <f t="shared" si="2"/>
        <v>1</v>
      </c>
      <c r="G21" s="165">
        <f t="shared" si="2"/>
        <v>64.315789473684205</v>
      </c>
      <c r="H21" s="165"/>
      <c r="I21" s="165">
        <f t="shared" si="2"/>
        <v>4</v>
      </c>
      <c r="J21" s="167" t="s">
        <v>233</v>
      </c>
    </row>
    <row r="22" spans="1:26" x14ac:dyDescent="0.25">
      <c r="A22" s="164" t="s">
        <v>250</v>
      </c>
      <c r="B22" s="165">
        <v>5</v>
      </c>
      <c r="C22" s="165">
        <v>4.5</v>
      </c>
      <c r="D22" s="165">
        <v>5.5</v>
      </c>
      <c r="E22" s="166">
        <v>3.65</v>
      </c>
      <c r="F22" s="166">
        <v>4.83</v>
      </c>
      <c r="G22" s="166">
        <v>4</v>
      </c>
      <c r="H22" s="165"/>
      <c r="I22" s="166">
        <v>5.5</v>
      </c>
      <c r="J22" s="167" t="s">
        <v>235</v>
      </c>
      <c r="K22" s="40" t="s">
        <v>387</v>
      </c>
    </row>
    <row r="23" spans="1:26" x14ac:dyDescent="0.25">
      <c r="A23" s="164" t="s">
        <v>236</v>
      </c>
      <c r="B23" s="166">
        <v>3375</v>
      </c>
      <c r="C23" s="165">
        <v>3448</v>
      </c>
      <c r="D23" s="166">
        <v>10000</v>
      </c>
      <c r="E23" s="166">
        <v>19334</v>
      </c>
      <c r="F23" s="166">
        <v>7033</v>
      </c>
      <c r="G23" s="166">
        <v>4269</v>
      </c>
      <c r="H23" s="165"/>
      <c r="I23" s="166">
        <v>8000</v>
      </c>
      <c r="J23" s="167" t="s">
        <v>237</v>
      </c>
      <c r="K23" s="40" t="s">
        <v>387</v>
      </c>
    </row>
    <row r="24" spans="1:26" x14ac:dyDescent="0.25">
      <c r="A24" s="164" t="s">
        <v>238</v>
      </c>
      <c r="B24" s="166">
        <f>85+Conversions!D7</f>
        <v>99.7</v>
      </c>
      <c r="C24" s="165">
        <f>50+Conversions!D7</f>
        <v>64.7</v>
      </c>
      <c r="D24" s="165">
        <f>65.2+Conversions!D7</f>
        <v>79.900000000000006</v>
      </c>
      <c r="E24" s="165">
        <f>224+Conversions!D7</f>
        <v>238.7</v>
      </c>
      <c r="F24" s="165">
        <f>25.5+Conversions!D7</f>
        <v>40.200000000000003</v>
      </c>
      <c r="G24" s="165">
        <f>60.8+Conversions!D7</f>
        <v>75.5</v>
      </c>
      <c r="H24" s="165"/>
      <c r="I24" s="165">
        <f>100+Conversions!D7</f>
        <v>114.7</v>
      </c>
      <c r="J24" s="167" t="s">
        <v>239</v>
      </c>
      <c r="K24" s="40" t="s">
        <v>387</v>
      </c>
    </row>
    <row r="25" spans="1:26" ht="17.25" x14ac:dyDescent="0.25">
      <c r="A25" s="164" t="s">
        <v>240</v>
      </c>
      <c r="B25" s="168">
        <f>12830/24</f>
        <v>534.58333333333337</v>
      </c>
      <c r="C25" s="168">
        <f>7210/24</f>
        <v>300.41666666666669</v>
      </c>
      <c r="D25" s="168">
        <f>300000/24</f>
        <v>12500</v>
      </c>
      <c r="E25" s="165">
        <f>664000/24</f>
        <v>27666.666666666668</v>
      </c>
      <c r="F25" s="165">
        <f>58430/24</f>
        <v>2434.5833333333335</v>
      </c>
      <c r="G25" s="165">
        <f>84000/24</f>
        <v>3500</v>
      </c>
      <c r="H25" s="165"/>
      <c r="I25" s="165">
        <f>100000/24</f>
        <v>4166.666666666667</v>
      </c>
      <c r="J25" s="167" t="s">
        <v>241</v>
      </c>
      <c r="K25" s="40" t="s">
        <v>387</v>
      </c>
    </row>
    <row r="26" spans="1:26" x14ac:dyDescent="0.25">
      <c r="A26" s="164" t="s">
        <v>242</v>
      </c>
      <c r="B26" s="166">
        <v>1</v>
      </c>
      <c r="C26" s="165">
        <v>2</v>
      </c>
      <c r="D26" s="166">
        <v>1</v>
      </c>
      <c r="E26" s="166">
        <v>2.5</v>
      </c>
      <c r="F26" s="166">
        <v>0.25</v>
      </c>
      <c r="G26" s="166">
        <v>4.95</v>
      </c>
      <c r="H26" s="165"/>
      <c r="I26" s="166">
        <v>1</v>
      </c>
      <c r="J26" s="167" t="s">
        <v>243</v>
      </c>
      <c r="K26" s="40" t="s">
        <v>387</v>
      </c>
    </row>
    <row r="27" spans="1:26" x14ac:dyDescent="0.25">
      <c r="A27" s="164" t="s">
        <v>244</v>
      </c>
      <c r="B27" s="165">
        <f>IF(B26&lt;1,0,1)</f>
        <v>1</v>
      </c>
      <c r="C27" s="165">
        <f t="shared" ref="C27:I27" si="3">IF(C26&lt;1,0,1)</f>
        <v>1</v>
      </c>
      <c r="D27" s="165">
        <f t="shared" si="3"/>
        <v>1</v>
      </c>
      <c r="E27" s="165">
        <f t="shared" si="3"/>
        <v>1</v>
      </c>
      <c r="F27" s="165">
        <f t="shared" si="3"/>
        <v>0</v>
      </c>
      <c r="G27" s="165">
        <f t="shared" si="3"/>
        <v>1</v>
      </c>
      <c r="H27" s="165"/>
      <c r="I27" s="165">
        <f t="shared" si="3"/>
        <v>1</v>
      </c>
      <c r="J27" s="167" t="s">
        <v>245</v>
      </c>
      <c r="K27" s="40" t="s">
        <v>387</v>
      </c>
    </row>
    <row r="28" spans="1:26" ht="17.25" x14ac:dyDescent="0.25">
      <c r="A28" s="164" t="s">
        <v>246</v>
      </c>
      <c r="B28" s="169">
        <f t="shared" ref="B28:G28" si="4">((B20*0.00037*(B22^2)*B23*B24)+(B25*(B26-1)*B27)*B20)</f>
        <v>13492728.140625</v>
      </c>
      <c r="C28" s="169">
        <f t="shared" si="4"/>
        <v>78220754.992477342</v>
      </c>
      <c r="D28" s="169">
        <f t="shared" si="4"/>
        <v>1287764.2800000003</v>
      </c>
      <c r="E28" s="169">
        <f t="shared" si="4"/>
        <v>3854937.7230950999</v>
      </c>
      <c r="F28" s="169">
        <f t="shared" si="4"/>
        <v>2440.4092141338006</v>
      </c>
      <c r="G28" s="169">
        <f t="shared" si="4"/>
        <v>38451628.554559998</v>
      </c>
      <c r="H28" s="165"/>
      <c r="I28" s="169">
        <f>((I20*0.00037*(I22^2)*I23*I24)+(I25*(I26-1)*I27)*I20)</f>
        <v>9037809.4399999995</v>
      </c>
      <c r="J28" s="167" t="s">
        <v>254</v>
      </c>
      <c r="K28" s="40" t="s">
        <v>387</v>
      </c>
    </row>
    <row r="29" spans="1:26" ht="17.25" x14ac:dyDescent="0.25">
      <c r="A29" s="164" t="s">
        <v>247</v>
      </c>
      <c r="B29" s="165">
        <f t="shared" ref="B29:G29" si="5">B28/B19</f>
        <v>71014.358634868418</v>
      </c>
      <c r="C29" s="165">
        <f t="shared" si="5"/>
        <v>85393.837328032037</v>
      </c>
      <c r="D29" s="165">
        <f t="shared" si="5"/>
        <v>107313.69000000002</v>
      </c>
      <c r="E29" s="165">
        <f t="shared" si="5"/>
        <v>642489.62051585002</v>
      </c>
      <c r="F29" s="165">
        <f t="shared" si="5"/>
        <v>2440.4092141338006</v>
      </c>
      <c r="G29" s="165">
        <f t="shared" si="5"/>
        <v>1011884.9619621052</v>
      </c>
      <c r="H29" s="165"/>
      <c r="I29" s="165">
        <f>I28/I19</f>
        <v>41080.951999999997</v>
      </c>
      <c r="J29" s="167" t="s">
        <v>255</v>
      </c>
      <c r="K29" s="40" t="s">
        <v>387</v>
      </c>
    </row>
    <row r="30" spans="1:26" ht="15.75" thickBot="1" x14ac:dyDescent="0.3">
      <c r="A30" s="174" t="s">
        <v>427</v>
      </c>
      <c r="B30" s="292">
        <f>B19*B25</f>
        <v>101570.83333333334</v>
      </c>
      <c r="C30" s="292">
        <f t="shared" ref="C30:I30" si="6">C19*C25</f>
        <v>275181.66666666669</v>
      </c>
      <c r="D30" s="292">
        <f t="shared" si="6"/>
        <v>150000</v>
      </c>
      <c r="E30" s="292">
        <f t="shared" si="6"/>
        <v>166000</v>
      </c>
      <c r="F30" s="292">
        <f t="shared" si="6"/>
        <v>2434.5833333333335</v>
      </c>
      <c r="G30" s="292">
        <f t="shared" si="6"/>
        <v>133000</v>
      </c>
      <c r="H30" s="292"/>
      <c r="I30" s="292">
        <f t="shared" si="6"/>
        <v>916666.66666666674</v>
      </c>
      <c r="J30" s="175" t="s">
        <v>347</v>
      </c>
    </row>
    <row r="31" spans="1:26" ht="19.5" thickBot="1" x14ac:dyDescent="0.35">
      <c r="A31" s="176" t="s">
        <v>251</v>
      </c>
    </row>
    <row r="32" spans="1:26" ht="18" thickBot="1" x14ac:dyDescent="0.3">
      <c r="A32" s="177" t="s">
        <v>226</v>
      </c>
      <c r="B32" s="178" t="s">
        <v>418</v>
      </c>
      <c r="C32" s="178"/>
      <c r="D32" s="179"/>
      <c r="E32" s="156" t="s">
        <v>372</v>
      </c>
      <c r="F32" s="156"/>
      <c r="G32" s="156"/>
      <c r="H32" s="156"/>
      <c r="I32" s="156"/>
      <c r="J32" s="156"/>
      <c r="K32" s="156"/>
      <c r="L32" s="156"/>
      <c r="M32" s="156"/>
      <c r="N32" s="156"/>
      <c r="O32" s="156"/>
      <c r="P32" s="156"/>
      <c r="Q32" s="156"/>
      <c r="R32" s="156"/>
      <c r="S32" s="156"/>
      <c r="T32" s="156"/>
      <c r="U32" s="156"/>
      <c r="V32" s="156"/>
      <c r="W32" s="156"/>
      <c r="X32" s="156"/>
      <c r="Y32" s="156"/>
      <c r="Z32" s="158"/>
    </row>
    <row r="33" spans="1:51" x14ac:dyDescent="0.25">
      <c r="A33" s="180" t="s">
        <v>227</v>
      </c>
      <c r="B33" s="389" t="s">
        <v>253</v>
      </c>
      <c r="C33" s="390"/>
      <c r="D33" s="391"/>
      <c r="E33" s="392" t="s">
        <v>228</v>
      </c>
      <c r="F33" s="393"/>
      <c r="G33" s="393"/>
      <c r="H33" s="393"/>
      <c r="I33" s="393"/>
      <c r="J33" s="393"/>
      <c r="K33" s="393"/>
      <c r="L33" s="393"/>
      <c r="M33" s="394"/>
      <c r="N33" s="395" t="s">
        <v>229</v>
      </c>
      <c r="O33" s="393"/>
      <c r="P33" s="393"/>
      <c r="Q33" s="394"/>
      <c r="R33" s="395" t="s">
        <v>230</v>
      </c>
      <c r="S33" s="393"/>
      <c r="T33" s="394"/>
      <c r="U33" s="395" t="s">
        <v>252</v>
      </c>
      <c r="V33" s="399"/>
      <c r="W33" s="399"/>
      <c r="X33" s="399"/>
      <c r="Y33" s="400"/>
      <c r="Z33" s="160" t="s">
        <v>92</v>
      </c>
      <c r="AX33" s="40" t="s">
        <v>408</v>
      </c>
    </row>
    <row r="34" spans="1:51" x14ac:dyDescent="0.25">
      <c r="A34" s="161" t="s">
        <v>231</v>
      </c>
      <c r="B34" s="172">
        <v>308</v>
      </c>
      <c r="C34" s="181">
        <v>103</v>
      </c>
      <c r="D34" s="181">
        <v>5</v>
      </c>
      <c r="E34" s="173">
        <v>3</v>
      </c>
      <c r="F34" s="181">
        <v>2</v>
      </c>
      <c r="G34" s="181">
        <v>22</v>
      </c>
      <c r="H34" s="181">
        <v>59</v>
      </c>
      <c r="I34" s="181">
        <v>5</v>
      </c>
      <c r="J34" s="182"/>
      <c r="K34" s="182"/>
      <c r="L34" s="182"/>
      <c r="M34" s="182"/>
      <c r="N34" s="172">
        <v>48</v>
      </c>
      <c r="O34" s="172">
        <v>4</v>
      </c>
      <c r="P34" s="172">
        <v>64</v>
      </c>
      <c r="Q34" s="172">
        <v>29</v>
      </c>
      <c r="R34" s="172">
        <v>18</v>
      </c>
      <c r="S34" s="172">
        <v>60</v>
      </c>
      <c r="T34" s="182"/>
      <c r="U34" s="172">
        <v>247</v>
      </c>
      <c r="V34" s="183">
        <v>23</v>
      </c>
      <c r="W34" s="181">
        <v>296</v>
      </c>
      <c r="X34" s="181">
        <v>19</v>
      </c>
      <c r="Y34" s="181">
        <v>793</v>
      </c>
      <c r="Z34" s="242" t="s">
        <v>345</v>
      </c>
      <c r="AA34" s="40" t="s">
        <v>387</v>
      </c>
    </row>
    <row r="35" spans="1:51" x14ac:dyDescent="0.25">
      <c r="A35" s="164" t="s">
        <v>232</v>
      </c>
      <c r="B35" s="165">
        <v>63840</v>
      </c>
      <c r="C35" s="165">
        <v>75190</v>
      </c>
      <c r="D35" s="165">
        <v>194</v>
      </c>
      <c r="E35" s="165">
        <v>156</v>
      </c>
      <c r="F35" s="166">
        <v>2</v>
      </c>
      <c r="G35" s="166">
        <v>22</v>
      </c>
      <c r="H35" s="166">
        <v>354</v>
      </c>
      <c r="I35" s="166">
        <v>5</v>
      </c>
      <c r="J35" s="165"/>
      <c r="K35" s="165"/>
      <c r="L35" s="165"/>
      <c r="M35" s="165"/>
      <c r="N35" s="165">
        <v>155742</v>
      </c>
      <c r="O35" s="166">
        <v>9.6</v>
      </c>
      <c r="P35" s="166">
        <v>170.4</v>
      </c>
      <c r="Q35" s="166">
        <v>348</v>
      </c>
      <c r="R35" s="166">
        <v>25</v>
      </c>
      <c r="S35" s="166">
        <v>60</v>
      </c>
      <c r="T35" s="165"/>
      <c r="U35" s="166">
        <v>1476</v>
      </c>
      <c r="V35" s="166">
        <v>51.43</v>
      </c>
      <c r="W35" s="166">
        <v>2080</v>
      </c>
      <c r="X35" s="166">
        <v>21888</v>
      </c>
      <c r="Y35" s="166">
        <v>9516</v>
      </c>
      <c r="Z35" s="167" t="s">
        <v>425</v>
      </c>
      <c r="AA35" s="40" t="s">
        <v>387</v>
      </c>
    </row>
    <row r="36" spans="1:51" x14ac:dyDescent="0.25">
      <c r="A36" s="164" t="s">
        <v>424</v>
      </c>
      <c r="B36" s="165">
        <f>B35/B34</f>
        <v>207.27272727272728</v>
      </c>
      <c r="C36" s="165">
        <f t="shared" ref="C36:Y36" si="7">C35/C34</f>
        <v>730</v>
      </c>
      <c r="D36" s="165">
        <f t="shared" si="7"/>
        <v>38.799999999999997</v>
      </c>
      <c r="E36" s="165">
        <f t="shared" si="7"/>
        <v>52</v>
      </c>
      <c r="F36" s="165">
        <f t="shared" si="7"/>
        <v>1</v>
      </c>
      <c r="G36" s="165">
        <f t="shared" si="7"/>
        <v>1</v>
      </c>
      <c r="H36" s="165">
        <f t="shared" si="7"/>
        <v>6</v>
      </c>
      <c r="I36" s="165">
        <f t="shared" si="7"/>
        <v>1</v>
      </c>
      <c r="J36" s="165"/>
      <c r="K36" s="165"/>
      <c r="L36" s="165"/>
      <c r="M36" s="165"/>
      <c r="N36" s="165">
        <f t="shared" si="7"/>
        <v>3244.625</v>
      </c>
      <c r="O36" s="165">
        <f t="shared" si="7"/>
        <v>2.4</v>
      </c>
      <c r="P36" s="165">
        <f t="shared" si="7"/>
        <v>2.6625000000000001</v>
      </c>
      <c r="Q36" s="165">
        <f t="shared" si="7"/>
        <v>12</v>
      </c>
      <c r="R36" s="165">
        <f t="shared" si="7"/>
        <v>1.3888888888888888</v>
      </c>
      <c r="S36" s="165">
        <f t="shared" si="7"/>
        <v>1</v>
      </c>
      <c r="T36" s="165"/>
      <c r="U36" s="165">
        <f t="shared" si="7"/>
        <v>5.9757085020242915</v>
      </c>
      <c r="V36" s="165">
        <f t="shared" si="7"/>
        <v>2.2360869565217389</v>
      </c>
      <c r="W36" s="165">
        <f t="shared" si="7"/>
        <v>7.0270270270270272</v>
      </c>
      <c r="X36" s="165">
        <f t="shared" si="7"/>
        <v>1152</v>
      </c>
      <c r="Y36" s="165">
        <f t="shared" si="7"/>
        <v>12</v>
      </c>
      <c r="Z36" s="167" t="s">
        <v>233</v>
      </c>
    </row>
    <row r="37" spans="1:51" x14ac:dyDescent="0.25">
      <c r="A37" s="164" t="s">
        <v>234</v>
      </c>
      <c r="B37" s="165">
        <v>2.375</v>
      </c>
      <c r="C37" s="165">
        <v>2.375</v>
      </c>
      <c r="D37" s="165">
        <v>2.375</v>
      </c>
      <c r="E37" s="165">
        <v>2.375</v>
      </c>
      <c r="F37" s="165">
        <v>2.375</v>
      </c>
      <c r="G37" s="165">
        <v>2.375</v>
      </c>
      <c r="H37" s="165">
        <v>2.375</v>
      </c>
      <c r="I37" s="165">
        <v>2.375</v>
      </c>
      <c r="J37" s="165"/>
      <c r="K37" s="165"/>
      <c r="L37" s="165"/>
      <c r="M37" s="165"/>
      <c r="N37" s="165">
        <v>2.375</v>
      </c>
      <c r="O37" s="166">
        <v>3.88</v>
      </c>
      <c r="P37" s="166">
        <v>4.1100000000000003</v>
      </c>
      <c r="Q37" s="166">
        <v>2.4</v>
      </c>
      <c r="R37" s="166">
        <v>1.9950000000000001</v>
      </c>
      <c r="S37" s="166">
        <v>2.375</v>
      </c>
      <c r="T37" s="165"/>
      <c r="U37" s="166">
        <v>1.9970000000000001</v>
      </c>
      <c r="V37" s="166">
        <v>1.92</v>
      </c>
      <c r="W37" s="166">
        <v>2.375</v>
      </c>
      <c r="X37" s="166">
        <v>2.375</v>
      </c>
      <c r="Y37" s="166">
        <v>2.375</v>
      </c>
      <c r="Z37" s="167" t="s">
        <v>235</v>
      </c>
      <c r="AA37" s="40" t="s">
        <v>387</v>
      </c>
    </row>
    <row r="38" spans="1:51" x14ac:dyDescent="0.25">
      <c r="A38" s="164" t="s">
        <v>236</v>
      </c>
      <c r="B38" s="165">
        <v>4845</v>
      </c>
      <c r="C38" s="165">
        <v>2500</v>
      </c>
      <c r="D38" s="165">
        <v>7000</v>
      </c>
      <c r="E38" s="165">
        <v>13752</v>
      </c>
      <c r="F38" s="166">
        <v>16000</v>
      </c>
      <c r="G38" s="166">
        <v>8500</v>
      </c>
      <c r="H38" s="166">
        <v>11647</v>
      </c>
      <c r="I38" s="166">
        <v>12500</v>
      </c>
      <c r="J38" s="165"/>
      <c r="K38" s="165"/>
      <c r="L38" s="165"/>
      <c r="M38" s="165"/>
      <c r="N38" s="165">
        <v>3911</v>
      </c>
      <c r="O38" s="166">
        <v>10293</v>
      </c>
      <c r="P38" s="166">
        <v>7888</v>
      </c>
      <c r="Q38" s="166">
        <v>7888</v>
      </c>
      <c r="R38" s="166">
        <v>8725</v>
      </c>
      <c r="S38" s="166">
        <v>6800</v>
      </c>
      <c r="T38" s="165"/>
      <c r="U38" s="166">
        <v>11149</v>
      </c>
      <c r="V38" s="166">
        <v>11164</v>
      </c>
      <c r="W38" s="166">
        <v>11056</v>
      </c>
      <c r="X38" s="166">
        <v>10844</v>
      </c>
      <c r="Y38" s="166">
        <v>7400</v>
      </c>
      <c r="Z38" s="167" t="s">
        <v>237</v>
      </c>
      <c r="AA38" s="40" t="s">
        <v>387</v>
      </c>
    </row>
    <row r="39" spans="1:51" x14ac:dyDescent="0.25">
      <c r="A39" s="164" t="s">
        <v>238</v>
      </c>
      <c r="B39" s="166">
        <f>121.6+Conversions!D7</f>
        <v>136.29999999999998</v>
      </c>
      <c r="C39" s="165">
        <f>200+Conversions!D7</f>
        <v>214.7</v>
      </c>
      <c r="D39" s="165">
        <f>130+Conversions!D7</f>
        <v>144.69999999999999</v>
      </c>
      <c r="E39" s="165">
        <f>450+Conversions!D7</f>
        <v>464.7</v>
      </c>
      <c r="F39" s="165">
        <f>540+Conversions!D7</f>
        <v>554.70000000000005</v>
      </c>
      <c r="G39" s="165">
        <f>15+Conversions!D7</f>
        <v>29.7</v>
      </c>
      <c r="H39" s="165">
        <f>25+Conversions!D7</f>
        <v>39.700000000000003</v>
      </c>
      <c r="I39" s="165">
        <f>530+Conversions!D7</f>
        <v>544.70000000000005</v>
      </c>
      <c r="J39" s="165"/>
      <c r="K39" s="165"/>
      <c r="L39" s="165"/>
      <c r="M39" s="165"/>
      <c r="N39" s="165">
        <f>80+Conversions!D7</f>
        <v>94.7</v>
      </c>
      <c r="O39" s="165">
        <f>90.04+Conversions!D7</f>
        <v>104.74000000000001</v>
      </c>
      <c r="P39" s="165">
        <f>98.75+Conversions!D7</f>
        <v>113.45</v>
      </c>
      <c r="Q39" s="165">
        <f>74.69+Conversions!D7</f>
        <v>89.39</v>
      </c>
      <c r="R39" s="165">
        <f>516+Conversions!D7</f>
        <v>530.70000000000005</v>
      </c>
      <c r="S39" s="165">
        <f>110+Conversions!D7</f>
        <v>124.7</v>
      </c>
      <c r="T39" s="165"/>
      <c r="U39" s="165">
        <f>250+Conversions!D7</f>
        <v>264.7</v>
      </c>
      <c r="V39" s="165">
        <f>290+Conversions!D7</f>
        <v>304.7</v>
      </c>
      <c r="W39" s="165">
        <f>250+Conversions!D7</f>
        <v>264.7</v>
      </c>
      <c r="X39" s="165">
        <f>198+Conversions!D7</f>
        <v>212.7</v>
      </c>
      <c r="Y39" s="165">
        <f>150+Conversions!D7</f>
        <v>164.7</v>
      </c>
      <c r="Z39" s="167" t="s">
        <v>239</v>
      </c>
      <c r="AA39" s="40" t="s">
        <v>387</v>
      </c>
    </row>
    <row r="40" spans="1:51" ht="17.25" x14ac:dyDescent="0.25">
      <c r="A40" s="164" t="s">
        <v>240</v>
      </c>
      <c r="B40" s="168">
        <f>26000/24</f>
        <v>1083.3333333333333</v>
      </c>
      <c r="C40" s="168">
        <f>15000/24</f>
        <v>625</v>
      </c>
      <c r="D40" s="168">
        <f>628000/24</f>
        <v>26166.666666666668</v>
      </c>
      <c r="E40" s="168">
        <f>353000/24</f>
        <v>14708.333333333334</v>
      </c>
      <c r="F40" s="168">
        <f>8500000/24</f>
        <v>354166.66666666669</v>
      </c>
      <c r="G40" s="168">
        <f>99000/24</f>
        <v>4125</v>
      </c>
      <c r="H40" s="168">
        <f>83000/24</f>
        <v>3458.3333333333335</v>
      </c>
      <c r="I40" s="168">
        <f>6500000/24</f>
        <v>270833.33333333331</v>
      </c>
      <c r="J40" s="165"/>
      <c r="K40" s="165"/>
      <c r="L40" s="165"/>
      <c r="M40" s="165"/>
      <c r="N40" s="165">
        <f>250000/24</f>
        <v>10416.666666666666</v>
      </c>
      <c r="O40" s="165">
        <f>727000/24</f>
        <v>30291.666666666668</v>
      </c>
      <c r="P40" s="165">
        <f>875000/24</f>
        <v>36458.333333333336</v>
      </c>
      <c r="Q40" s="165">
        <f>371000/24</f>
        <v>15458.333333333334</v>
      </c>
      <c r="R40" s="165">
        <f>1500000/24</f>
        <v>62500</v>
      </c>
      <c r="S40" s="165">
        <f>25000/24</f>
        <v>1041.6666666666667</v>
      </c>
      <c r="T40" s="165"/>
      <c r="U40" s="165">
        <f>127000/24</f>
        <v>5291.666666666667</v>
      </c>
      <c r="V40" s="165">
        <f>454000/24</f>
        <v>18916.666666666668</v>
      </c>
      <c r="W40" s="165">
        <f>433000/24</f>
        <v>18041.666666666668</v>
      </c>
      <c r="X40" s="165">
        <f>83000/24</f>
        <v>3458.3333333333335</v>
      </c>
      <c r="Y40" s="165">
        <f>46000/24</f>
        <v>1916.6666666666667</v>
      </c>
      <c r="Z40" s="167" t="s">
        <v>241</v>
      </c>
      <c r="AA40" s="40" t="s">
        <v>387</v>
      </c>
    </row>
    <row r="41" spans="1:51" x14ac:dyDescent="0.25">
      <c r="A41" s="164" t="s">
        <v>242</v>
      </c>
      <c r="B41" s="166">
        <v>0.221</v>
      </c>
      <c r="C41" s="166">
        <v>0.05</v>
      </c>
      <c r="D41" s="165">
        <v>0.1</v>
      </c>
      <c r="E41" s="166">
        <v>2</v>
      </c>
      <c r="F41" s="166">
        <v>1</v>
      </c>
      <c r="G41" s="166">
        <v>0.875</v>
      </c>
      <c r="H41" s="166">
        <v>0.3</v>
      </c>
      <c r="I41" s="166">
        <v>0.5</v>
      </c>
      <c r="J41" s="165"/>
      <c r="K41" s="165"/>
      <c r="L41" s="165"/>
      <c r="M41" s="165"/>
      <c r="N41" s="166">
        <v>8.3299999999999999E-2</v>
      </c>
      <c r="O41" s="166">
        <v>2.99</v>
      </c>
      <c r="P41" s="166">
        <v>2.6</v>
      </c>
      <c r="Q41" s="166">
        <v>0.54249999999999998</v>
      </c>
      <c r="R41" s="166">
        <v>0.5</v>
      </c>
      <c r="S41" s="166">
        <v>0.2</v>
      </c>
      <c r="T41" s="165"/>
      <c r="U41" s="166">
        <v>0.40699999999999997</v>
      </c>
      <c r="V41" s="166">
        <v>1.1200000000000001</v>
      </c>
      <c r="W41" s="166">
        <v>2.1</v>
      </c>
      <c r="X41" s="166">
        <v>0.45500000000000002</v>
      </c>
      <c r="Y41" s="166">
        <v>0.67</v>
      </c>
      <c r="Z41" s="167" t="s">
        <v>243</v>
      </c>
      <c r="AA41" s="40" t="s">
        <v>387</v>
      </c>
    </row>
    <row r="42" spans="1:51" x14ac:dyDescent="0.25">
      <c r="A42" s="164" t="s">
        <v>244</v>
      </c>
      <c r="B42" s="165">
        <f t="shared" ref="B42:I42" si="8">IF(B41&lt;0.5,0,1)</f>
        <v>0</v>
      </c>
      <c r="C42" s="165">
        <f t="shared" si="8"/>
        <v>0</v>
      </c>
      <c r="D42" s="165">
        <f t="shared" si="8"/>
        <v>0</v>
      </c>
      <c r="E42" s="165">
        <f t="shared" si="8"/>
        <v>1</v>
      </c>
      <c r="F42" s="165">
        <f t="shared" si="8"/>
        <v>1</v>
      </c>
      <c r="G42" s="165">
        <f t="shared" si="8"/>
        <v>1</v>
      </c>
      <c r="H42" s="165">
        <f t="shared" si="8"/>
        <v>0</v>
      </c>
      <c r="I42" s="165">
        <f t="shared" si="8"/>
        <v>1</v>
      </c>
      <c r="J42" s="165"/>
      <c r="K42" s="165"/>
      <c r="L42" s="165"/>
      <c r="M42" s="165"/>
      <c r="N42" s="165">
        <f t="shared" ref="N42:S42" si="9">IF(N41&lt;0.5,0,1)</f>
        <v>0</v>
      </c>
      <c r="O42" s="165">
        <f t="shared" si="9"/>
        <v>1</v>
      </c>
      <c r="P42" s="165">
        <f t="shared" si="9"/>
        <v>1</v>
      </c>
      <c r="Q42" s="165">
        <f t="shared" si="9"/>
        <v>1</v>
      </c>
      <c r="R42" s="165">
        <f t="shared" si="9"/>
        <v>1</v>
      </c>
      <c r="S42" s="165">
        <f t="shared" si="9"/>
        <v>0</v>
      </c>
      <c r="T42" s="165"/>
      <c r="U42" s="165">
        <f>IF(U41&lt;0.5,0,1)</f>
        <v>0</v>
      </c>
      <c r="V42" s="165">
        <f>IF(V41&lt;0.5,0,1)</f>
        <v>1</v>
      </c>
      <c r="W42" s="165">
        <f>IF(W41&lt;0.5,0,1)</f>
        <v>1</v>
      </c>
      <c r="X42" s="165">
        <f>IF(X41&lt;0.5,0,1)</f>
        <v>0</v>
      </c>
      <c r="Y42" s="165">
        <f>IF(Y41&lt;0.5,0,1)</f>
        <v>1</v>
      </c>
      <c r="Z42" s="167" t="s">
        <v>245</v>
      </c>
      <c r="AA42" s="40" t="s">
        <v>387</v>
      </c>
    </row>
    <row r="43" spans="1:51" ht="17.25" x14ac:dyDescent="0.25">
      <c r="A43" s="164" t="s">
        <v>246</v>
      </c>
      <c r="B43" s="169">
        <f t="shared" ref="B43:I43" si="10">((B35*0.00037*(B37^2)*B38*B39)+(B40*(B41-0.5)*B42)*B35)</f>
        <v>87985573.174012482</v>
      </c>
      <c r="C43" s="169">
        <f t="shared" si="10"/>
        <v>84228892.422265619</v>
      </c>
      <c r="D43" s="169">
        <f t="shared" si="10"/>
        <v>410107.06690624997</v>
      </c>
      <c r="E43" s="169">
        <f t="shared" si="10"/>
        <v>5522366.7310694996</v>
      </c>
      <c r="F43" s="169">
        <f t="shared" si="10"/>
        <v>391212.30616666668</v>
      </c>
      <c r="G43" s="169">
        <f t="shared" si="10"/>
        <v>45622.412859374999</v>
      </c>
      <c r="H43" s="169">
        <f t="shared" si="10"/>
        <v>341614.89329221874</v>
      </c>
      <c r="I43" s="169">
        <f t="shared" si="10"/>
        <v>71050.3701171875</v>
      </c>
      <c r="J43" s="169"/>
      <c r="K43" s="169"/>
      <c r="L43" s="169"/>
      <c r="M43" s="169"/>
      <c r="N43" s="169">
        <f t="shared" ref="N43:S43" si="11">((N35*0.00037*(N37^2)*N38*N39)+(N40*(N41-0.5)*N42)*N35)</f>
        <v>120385032.52793746</v>
      </c>
      <c r="O43" s="169">
        <f t="shared" si="11"/>
        <v>781740.89013858209</v>
      </c>
      <c r="P43" s="169">
        <f t="shared" si="11"/>
        <v>13999323.42571995</v>
      </c>
      <c r="Q43" s="169">
        <f t="shared" si="11"/>
        <v>751577.69435123191</v>
      </c>
      <c r="R43" s="169">
        <f t="shared" si="11"/>
        <v>170467.68213267188</v>
      </c>
      <c r="S43" s="169">
        <f t="shared" si="11"/>
        <v>106183.14112500001</v>
      </c>
      <c r="T43" s="169"/>
      <c r="U43" s="169">
        <f>((U35*0.00037*(U37^2)*U38*U39)+(U40*(U41-0.5)*U42)*U35)</f>
        <v>6427381.3467470324</v>
      </c>
      <c r="V43" s="169">
        <f>((V35*0.00037*(V37^2)*V38*V39)+(V40*(V41-0.5)*V42)*V35)</f>
        <v>841811.56048841355</v>
      </c>
      <c r="W43" s="169">
        <f>((W35*0.00037*(W37^2)*W38*W39)+(W40*(W41-0.5)*W42)*W35)</f>
        <v>72746777.040946677</v>
      </c>
      <c r="X43" s="169">
        <f>((X35*0.00037*(X37^2)*X38*X39)+(X40*(X41-0.5)*X42)*X35)</f>
        <v>105363946.91167197</v>
      </c>
      <c r="Y43" s="169">
        <f>((Y35*0.00037*(Y37^2)*Y38*Y39)+(Y40*(Y41-0.5)*Y42)*Y35)</f>
        <v>27305831.606462497</v>
      </c>
      <c r="Z43" s="167" t="s">
        <v>254</v>
      </c>
      <c r="AA43" s="40" t="s">
        <v>387</v>
      </c>
    </row>
    <row r="44" spans="1:51" ht="17.25" x14ac:dyDescent="0.25">
      <c r="A44" s="164" t="s">
        <v>247</v>
      </c>
      <c r="B44" s="169">
        <f t="shared" ref="B44:I44" si="12">B43/B34</f>
        <v>285667.4453701704</v>
      </c>
      <c r="C44" s="169">
        <f t="shared" si="12"/>
        <v>817756.23710937495</v>
      </c>
      <c r="D44" s="169">
        <f t="shared" si="12"/>
        <v>82021.413381249993</v>
      </c>
      <c r="E44" s="169">
        <f t="shared" si="12"/>
        <v>1840788.9103565</v>
      </c>
      <c r="F44" s="169">
        <f t="shared" si="12"/>
        <v>195606.15308333334</v>
      </c>
      <c r="G44" s="169">
        <f t="shared" si="12"/>
        <v>2073.7460390625001</v>
      </c>
      <c r="H44" s="169">
        <f t="shared" si="12"/>
        <v>5790.0829371562495</v>
      </c>
      <c r="I44" s="169">
        <f t="shared" si="12"/>
        <v>14210.074023437501</v>
      </c>
      <c r="J44" s="169"/>
      <c r="K44" s="169"/>
      <c r="L44" s="169"/>
      <c r="M44" s="169"/>
      <c r="N44" s="169">
        <f t="shared" ref="N44:S44" si="13">N43/N34</f>
        <v>2508021.510998697</v>
      </c>
      <c r="O44" s="169">
        <f t="shared" si="13"/>
        <v>195435.22253464552</v>
      </c>
      <c r="P44" s="169">
        <f t="shared" si="13"/>
        <v>218739.42852687422</v>
      </c>
      <c r="Q44" s="169">
        <f t="shared" si="13"/>
        <v>25916.472219007996</v>
      </c>
      <c r="R44" s="169">
        <f t="shared" si="13"/>
        <v>9470.4267851484383</v>
      </c>
      <c r="S44" s="169">
        <f t="shared" si="13"/>
        <v>1769.7190187500003</v>
      </c>
      <c r="T44" s="169"/>
      <c r="U44" s="169">
        <f>U43/U34</f>
        <v>26021.786828935354</v>
      </c>
      <c r="V44" s="169">
        <f>V43/V34</f>
        <v>36600.502629931027</v>
      </c>
      <c r="W44" s="169">
        <f>W43/W34</f>
        <v>245766.13865184688</v>
      </c>
      <c r="X44" s="169">
        <f>X43/X34</f>
        <v>5545470.8900879985</v>
      </c>
      <c r="Y44" s="169">
        <f>Y43/Y34</f>
        <v>34433.583362499994</v>
      </c>
      <c r="Z44" s="167" t="s">
        <v>255</v>
      </c>
      <c r="AA44" s="40" t="s">
        <v>387</v>
      </c>
    </row>
    <row r="45" spans="1:51" ht="15.75" thickBot="1" x14ac:dyDescent="0.3">
      <c r="A45" s="164" t="s">
        <v>427</v>
      </c>
      <c r="B45" s="169">
        <f>B34*B40</f>
        <v>333666.66666666663</v>
      </c>
      <c r="C45" s="169">
        <f>C34*C40</f>
        <v>64375</v>
      </c>
      <c r="D45" s="169">
        <f>D34*D40</f>
        <v>130833.33333333334</v>
      </c>
      <c r="E45" s="169">
        <f t="shared" ref="E45:Y45" si="14">E34*E40</f>
        <v>44125</v>
      </c>
      <c r="F45" s="169">
        <f t="shared" si="14"/>
        <v>708333.33333333337</v>
      </c>
      <c r="G45" s="169">
        <f t="shared" si="14"/>
        <v>90750</v>
      </c>
      <c r="H45" s="169">
        <f t="shared" si="14"/>
        <v>204041.66666666669</v>
      </c>
      <c r="I45" s="169">
        <f t="shared" si="14"/>
        <v>1354166.6666666665</v>
      </c>
      <c r="J45" s="169"/>
      <c r="K45" s="169"/>
      <c r="L45" s="169"/>
      <c r="M45" s="169"/>
      <c r="N45" s="169">
        <f t="shared" si="14"/>
        <v>500000</v>
      </c>
      <c r="O45" s="169">
        <f t="shared" si="14"/>
        <v>121166.66666666667</v>
      </c>
      <c r="P45" s="169">
        <f t="shared" si="14"/>
        <v>2333333.3333333335</v>
      </c>
      <c r="Q45" s="169">
        <f t="shared" si="14"/>
        <v>448291.66666666669</v>
      </c>
      <c r="R45" s="169">
        <f t="shared" si="14"/>
        <v>1125000</v>
      </c>
      <c r="S45" s="169">
        <f t="shared" si="14"/>
        <v>62500.000000000007</v>
      </c>
      <c r="T45" s="169"/>
      <c r="U45" s="169">
        <f t="shared" si="14"/>
        <v>1307041.6666666667</v>
      </c>
      <c r="V45" s="169">
        <f t="shared" si="14"/>
        <v>435083.33333333337</v>
      </c>
      <c r="W45" s="169">
        <f t="shared" si="14"/>
        <v>5340333.333333334</v>
      </c>
      <c r="X45" s="169">
        <f t="shared" si="14"/>
        <v>65708.333333333343</v>
      </c>
      <c r="Y45" s="169">
        <f t="shared" si="14"/>
        <v>1519916.6666666667</v>
      </c>
      <c r="Z45" s="167" t="s">
        <v>347</v>
      </c>
    </row>
    <row r="46" spans="1:51" ht="18" thickBot="1" x14ac:dyDescent="0.3">
      <c r="A46" s="177" t="s">
        <v>248</v>
      </c>
      <c r="B46" s="178" t="s">
        <v>419</v>
      </c>
      <c r="C46" s="178"/>
      <c r="D46" s="179"/>
      <c r="E46" s="119" t="s">
        <v>372</v>
      </c>
      <c r="F46" s="119"/>
      <c r="G46" s="119"/>
      <c r="H46" s="119"/>
      <c r="I46" s="119"/>
      <c r="J46" s="119"/>
      <c r="K46" s="119"/>
      <c r="L46" s="119"/>
      <c r="M46" s="119"/>
      <c r="N46" s="119"/>
      <c r="O46" s="119"/>
      <c r="P46" s="119"/>
      <c r="Q46" s="119"/>
      <c r="R46" s="119"/>
      <c r="S46" s="119"/>
      <c r="T46" s="119"/>
      <c r="U46" s="119"/>
      <c r="V46" s="119"/>
      <c r="W46" s="119"/>
      <c r="X46" s="119"/>
      <c r="Y46" s="119"/>
      <c r="Z46" s="184"/>
    </row>
    <row r="47" spans="1:51" x14ac:dyDescent="0.25">
      <c r="A47" s="180" t="s">
        <v>227</v>
      </c>
      <c r="B47" s="389" t="s">
        <v>253</v>
      </c>
      <c r="C47" s="390"/>
      <c r="D47" s="391"/>
      <c r="E47" s="392" t="s">
        <v>228</v>
      </c>
      <c r="F47" s="393"/>
      <c r="G47" s="393"/>
      <c r="H47" s="393"/>
      <c r="I47" s="393"/>
      <c r="J47" s="393"/>
      <c r="K47" s="393"/>
      <c r="L47" s="393"/>
      <c r="M47" s="394"/>
      <c r="N47" s="395" t="s">
        <v>229</v>
      </c>
      <c r="O47" s="393"/>
      <c r="P47" s="393"/>
      <c r="Q47" s="394"/>
      <c r="R47" s="395" t="s">
        <v>230</v>
      </c>
      <c r="S47" s="393"/>
      <c r="T47" s="394"/>
      <c r="U47" s="395" t="s">
        <v>252</v>
      </c>
      <c r="V47" s="399"/>
      <c r="W47" s="399"/>
      <c r="X47" s="399"/>
      <c r="Y47" s="400"/>
      <c r="Z47" s="160" t="s">
        <v>92</v>
      </c>
    </row>
    <row r="48" spans="1:51" x14ac:dyDescent="0.25">
      <c r="A48" s="161" t="s">
        <v>231</v>
      </c>
      <c r="B48" s="172">
        <v>337</v>
      </c>
      <c r="C48" s="172"/>
      <c r="D48" s="172"/>
      <c r="E48" s="173">
        <v>6</v>
      </c>
      <c r="F48" s="172">
        <v>8</v>
      </c>
      <c r="G48" s="172">
        <v>27</v>
      </c>
      <c r="H48" s="172">
        <v>11</v>
      </c>
      <c r="I48" s="172">
        <v>15</v>
      </c>
      <c r="J48" s="172">
        <v>146</v>
      </c>
      <c r="K48" s="172">
        <v>20</v>
      </c>
      <c r="L48" s="172">
        <v>10</v>
      </c>
      <c r="M48" s="172">
        <v>40</v>
      </c>
      <c r="N48" s="172">
        <v>177</v>
      </c>
      <c r="O48" s="172">
        <v>3</v>
      </c>
      <c r="P48" s="172">
        <v>136</v>
      </c>
      <c r="Q48" s="172">
        <v>215</v>
      </c>
      <c r="R48" s="172">
        <v>228</v>
      </c>
      <c r="S48" s="181">
        <v>6</v>
      </c>
      <c r="T48" s="181">
        <v>3</v>
      </c>
      <c r="U48" s="172">
        <v>5</v>
      </c>
      <c r="V48" s="181">
        <v>113</v>
      </c>
      <c r="W48" s="181">
        <v>2</v>
      </c>
      <c r="X48" s="181">
        <v>28</v>
      </c>
      <c r="Y48" s="185"/>
      <c r="Z48" s="242" t="s">
        <v>345</v>
      </c>
      <c r="AA48" s="40" t="s">
        <v>387</v>
      </c>
      <c r="AY48" s="40" t="s">
        <v>408</v>
      </c>
    </row>
    <row r="49" spans="1:27" x14ac:dyDescent="0.25">
      <c r="A49" s="164" t="s">
        <v>232</v>
      </c>
      <c r="B49" s="165">
        <v>27720</v>
      </c>
      <c r="C49" s="165"/>
      <c r="D49" s="165"/>
      <c r="E49" s="165">
        <v>6</v>
      </c>
      <c r="F49" s="166">
        <v>104</v>
      </c>
      <c r="G49" s="166">
        <v>207</v>
      </c>
      <c r="H49" s="166">
        <v>572</v>
      </c>
      <c r="I49" s="166">
        <v>15</v>
      </c>
      <c r="J49" s="166">
        <v>146</v>
      </c>
      <c r="K49" s="166">
        <v>12</v>
      </c>
      <c r="L49" s="166">
        <v>120</v>
      </c>
      <c r="M49" s="166">
        <v>40</v>
      </c>
      <c r="N49" s="166">
        <v>400</v>
      </c>
      <c r="O49" s="166">
        <v>7.2</v>
      </c>
      <c r="P49" s="166">
        <v>391.2</v>
      </c>
      <c r="Q49" s="166">
        <v>2580</v>
      </c>
      <c r="R49" s="166">
        <v>221</v>
      </c>
      <c r="S49" s="166">
        <v>6</v>
      </c>
      <c r="T49" s="166">
        <v>1</v>
      </c>
      <c r="U49" s="166">
        <v>1800</v>
      </c>
      <c r="V49" s="166">
        <v>2004</v>
      </c>
      <c r="W49" s="166">
        <v>4</v>
      </c>
      <c r="X49" s="166">
        <v>10584</v>
      </c>
      <c r="Y49" s="165"/>
      <c r="Z49" s="167" t="s">
        <v>425</v>
      </c>
      <c r="AA49" s="40" t="s">
        <v>387</v>
      </c>
    </row>
    <row r="50" spans="1:27" x14ac:dyDescent="0.25">
      <c r="A50" s="164" t="s">
        <v>424</v>
      </c>
      <c r="B50" s="165">
        <f>B49/B48</f>
        <v>82.255192878338278</v>
      </c>
      <c r="C50" s="165"/>
      <c r="D50" s="165"/>
      <c r="E50" s="165">
        <f t="shared" ref="E50:X50" si="15">E49/E48</f>
        <v>1</v>
      </c>
      <c r="F50" s="165">
        <f t="shared" si="15"/>
        <v>13</v>
      </c>
      <c r="G50" s="165">
        <f t="shared" si="15"/>
        <v>7.666666666666667</v>
      </c>
      <c r="H50" s="165">
        <f t="shared" si="15"/>
        <v>52</v>
      </c>
      <c r="I50" s="165">
        <f t="shared" si="15"/>
        <v>1</v>
      </c>
      <c r="J50" s="165">
        <f t="shared" si="15"/>
        <v>1</v>
      </c>
      <c r="K50" s="165">
        <f t="shared" si="15"/>
        <v>0.6</v>
      </c>
      <c r="L50" s="165">
        <f t="shared" si="15"/>
        <v>12</v>
      </c>
      <c r="M50" s="165">
        <f t="shared" si="15"/>
        <v>1</v>
      </c>
      <c r="N50" s="165">
        <f t="shared" si="15"/>
        <v>2.2598870056497176</v>
      </c>
      <c r="O50" s="165">
        <f t="shared" si="15"/>
        <v>2.4</v>
      </c>
      <c r="P50" s="165">
        <f t="shared" si="15"/>
        <v>2.8764705882352941</v>
      </c>
      <c r="Q50" s="165">
        <f t="shared" si="15"/>
        <v>12</v>
      </c>
      <c r="R50" s="165">
        <f t="shared" si="15"/>
        <v>0.9692982456140351</v>
      </c>
      <c r="S50" s="165">
        <f t="shared" si="15"/>
        <v>1</v>
      </c>
      <c r="T50" s="165">
        <f t="shared" si="15"/>
        <v>0.33333333333333331</v>
      </c>
      <c r="U50" s="165">
        <f t="shared" si="15"/>
        <v>360</v>
      </c>
      <c r="V50" s="165">
        <f t="shared" si="15"/>
        <v>17.734513274336283</v>
      </c>
      <c r="W50" s="165">
        <f t="shared" si="15"/>
        <v>2</v>
      </c>
      <c r="X50" s="165">
        <f t="shared" si="15"/>
        <v>378</v>
      </c>
      <c r="Y50" s="165"/>
      <c r="Z50" s="167" t="s">
        <v>233</v>
      </c>
    </row>
    <row r="51" spans="1:27" x14ac:dyDescent="0.25">
      <c r="A51" s="164" t="s">
        <v>250</v>
      </c>
      <c r="B51" s="165">
        <v>4.5</v>
      </c>
      <c r="C51" s="165"/>
      <c r="D51" s="165"/>
      <c r="E51" s="165">
        <v>5.5</v>
      </c>
      <c r="F51" s="166">
        <v>5.5</v>
      </c>
      <c r="G51" s="166">
        <v>4.5</v>
      </c>
      <c r="H51" s="166">
        <v>5.5</v>
      </c>
      <c r="I51" s="166">
        <v>10.75</v>
      </c>
      <c r="J51" s="166">
        <v>4.5</v>
      </c>
      <c r="K51" s="166">
        <v>5.5</v>
      </c>
      <c r="L51" s="166">
        <v>5.5</v>
      </c>
      <c r="M51" s="166">
        <v>8.625</v>
      </c>
      <c r="N51" s="166">
        <v>5.5</v>
      </c>
      <c r="O51" s="166">
        <v>4.92</v>
      </c>
      <c r="P51" s="166">
        <v>5.0199999999999996</v>
      </c>
      <c r="Q51" s="166">
        <v>5.5</v>
      </c>
      <c r="R51" s="166">
        <v>9.625</v>
      </c>
      <c r="S51" s="166">
        <v>5.5</v>
      </c>
      <c r="T51" s="166">
        <v>5</v>
      </c>
      <c r="U51" s="166">
        <v>2.375</v>
      </c>
      <c r="V51" s="166">
        <v>4.0380000000000003</v>
      </c>
      <c r="W51" s="166">
        <v>4.7</v>
      </c>
      <c r="X51" s="166">
        <v>4.5</v>
      </c>
      <c r="Y51" s="165"/>
      <c r="Z51" s="167" t="s">
        <v>235</v>
      </c>
      <c r="AA51" s="40" t="s">
        <v>387</v>
      </c>
    </row>
    <row r="52" spans="1:27" x14ac:dyDescent="0.25">
      <c r="A52" s="164" t="s">
        <v>236</v>
      </c>
      <c r="B52" s="166">
        <v>4845</v>
      </c>
      <c r="C52" s="165"/>
      <c r="D52" s="165"/>
      <c r="E52" s="166">
        <v>6000</v>
      </c>
      <c r="F52" s="166">
        <v>11000</v>
      </c>
      <c r="G52" s="166">
        <v>9000</v>
      </c>
      <c r="H52" s="166">
        <v>13752</v>
      </c>
      <c r="I52" s="166">
        <v>16000</v>
      </c>
      <c r="J52" s="166">
        <v>8500</v>
      </c>
      <c r="K52" s="166">
        <v>11647</v>
      </c>
      <c r="L52" s="166">
        <v>11000</v>
      </c>
      <c r="M52" s="166">
        <v>12500</v>
      </c>
      <c r="N52" s="166">
        <v>3911</v>
      </c>
      <c r="O52" s="166">
        <v>10293</v>
      </c>
      <c r="P52" s="166">
        <v>7888</v>
      </c>
      <c r="Q52" s="166">
        <v>11000</v>
      </c>
      <c r="R52" s="166">
        <v>8725</v>
      </c>
      <c r="S52" s="166">
        <v>8000</v>
      </c>
      <c r="T52" s="166">
        <v>15000</v>
      </c>
      <c r="U52" s="166">
        <v>11597</v>
      </c>
      <c r="V52" s="166">
        <v>11149</v>
      </c>
      <c r="W52" s="166">
        <v>11056</v>
      </c>
      <c r="X52" s="166">
        <v>10844</v>
      </c>
      <c r="Y52" s="165"/>
      <c r="Z52" s="167" t="s">
        <v>237</v>
      </c>
      <c r="AA52" s="40" t="s">
        <v>387</v>
      </c>
    </row>
    <row r="53" spans="1:27" x14ac:dyDescent="0.25">
      <c r="A53" s="164" t="s">
        <v>238</v>
      </c>
      <c r="B53" s="166">
        <f>121.6+Conversions!D7</f>
        <v>136.29999999999998</v>
      </c>
      <c r="C53" s="165"/>
      <c r="D53" s="165"/>
      <c r="E53" s="165">
        <f>400+Conversions!D7</f>
        <v>414.7</v>
      </c>
      <c r="F53" s="165">
        <f>200+Conversions!D7</f>
        <v>214.7</v>
      </c>
      <c r="G53" s="165">
        <f>50+Conversions!D7</f>
        <v>64.7</v>
      </c>
      <c r="H53" s="165">
        <f>450+Conversions!D7</f>
        <v>464.7</v>
      </c>
      <c r="I53" s="165">
        <f>540+Conversions!D7</f>
        <v>554.70000000000005</v>
      </c>
      <c r="J53" s="165">
        <f>15+Conversions!D7</f>
        <v>29.7</v>
      </c>
      <c r="K53" s="165">
        <f>25+Conversions!D7</f>
        <v>39.700000000000003</v>
      </c>
      <c r="L53" s="165">
        <f>94+Conversions!D7</f>
        <v>108.7</v>
      </c>
      <c r="M53" s="165">
        <f>530+Conversions!D7</f>
        <v>544.70000000000005</v>
      </c>
      <c r="N53" s="165">
        <f>80+Conversions!D7</f>
        <v>94.7</v>
      </c>
      <c r="O53" s="165">
        <f>90.04+Conversions!D7</f>
        <v>104.74000000000001</v>
      </c>
      <c r="P53" s="165">
        <f>98.75+Conversions!D7</f>
        <v>113.45</v>
      </c>
      <c r="Q53" s="165">
        <f>200+Conversions!D7</f>
        <v>214.7</v>
      </c>
      <c r="R53" s="165">
        <f>516+Conversions!D7</f>
        <v>530.70000000000005</v>
      </c>
      <c r="S53" s="165">
        <f>50+Conversions!D7</f>
        <v>64.7</v>
      </c>
      <c r="T53" s="165">
        <f>200+Conversions!D7</f>
        <v>214.7</v>
      </c>
      <c r="U53" s="165">
        <f>476+Conversions!D7</f>
        <v>490.7</v>
      </c>
      <c r="V53" s="165">
        <f>250+Conversions!D7</f>
        <v>264.7</v>
      </c>
      <c r="W53" s="165">
        <f>250+Conversions!D7</f>
        <v>264.7</v>
      </c>
      <c r="X53" s="165">
        <f>198+Conversions!D7</f>
        <v>212.7</v>
      </c>
      <c r="Y53" s="165"/>
      <c r="Z53" s="167" t="s">
        <v>239</v>
      </c>
      <c r="AA53" s="40" t="s">
        <v>387</v>
      </c>
    </row>
    <row r="54" spans="1:27" ht="17.25" x14ac:dyDescent="0.25">
      <c r="A54" s="164" t="s">
        <v>240</v>
      </c>
      <c r="B54" s="168">
        <f>26000/24</f>
        <v>1083.3333333333333</v>
      </c>
      <c r="C54" s="168"/>
      <c r="D54" s="168"/>
      <c r="E54" s="168">
        <f>200000/24</f>
        <v>8333.3333333333339</v>
      </c>
      <c r="F54" s="168">
        <f>25000/24</f>
        <v>1041.6666666666667</v>
      </c>
      <c r="G54" s="168">
        <f>130000/24</f>
        <v>5416.666666666667</v>
      </c>
      <c r="H54" s="168">
        <f>353000/24</f>
        <v>14708.333333333334</v>
      </c>
      <c r="I54" s="168">
        <f>8500000/24</f>
        <v>354166.66666666669</v>
      </c>
      <c r="J54" s="168">
        <f>99000/24</f>
        <v>4125</v>
      </c>
      <c r="K54" s="168">
        <f>83000/24</f>
        <v>3458.3333333333335</v>
      </c>
      <c r="L54" s="168">
        <f>92000/24</f>
        <v>3833.3333333333335</v>
      </c>
      <c r="M54" s="168">
        <f>6500000/24</f>
        <v>270833.33333333331</v>
      </c>
      <c r="N54" s="168">
        <f>250000/24</f>
        <v>10416.666666666666</v>
      </c>
      <c r="O54" s="168">
        <f>727000/24</f>
        <v>30291.666666666668</v>
      </c>
      <c r="P54" s="168">
        <f>875000/24</f>
        <v>36458.333333333336</v>
      </c>
      <c r="Q54" s="168">
        <f>100000/24</f>
        <v>4166.666666666667</v>
      </c>
      <c r="R54" s="168">
        <f>1500000/24</f>
        <v>62500</v>
      </c>
      <c r="S54" s="168">
        <f>12000/24</f>
        <v>500</v>
      </c>
      <c r="T54" s="168">
        <f>150000/24</f>
        <v>6250</v>
      </c>
      <c r="U54" s="168">
        <f>41540/24</f>
        <v>1730.8333333333333</v>
      </c>
      <c r="V54" s="168">
        <f>127000/24</f>
        <v>5291.666666666667</v>
      </c>
      <c r="W54" s="168">
        <f>433000/24</f>
        <v>18041.666666666668</v>
      </c>
      <c r="X54" s="168">
        <f>83000/24</f>
        <v>3458.3333333333335</v>
      </c>
      <c r="Y54" s="165"/>
      <c r="Z54" s="167" t="s">
        <v>241</v>
      </c>
      <c r="AA54" s="40" t="s">
        <v>387</v>
      </c>
    </row>
    <row r="55" spans="1:27" x14ac:dyDescent="0.25">
      <c r="A55" s="164" t="s">
        <v>242</v>
      </c>
      <c r="B55" s="166">
        <v>1.36</v>
      </c>
      <c r="C55" s="165"/>
      <c r="D55" s="165"/>
      <c r="E55" s="166">
        <v>3</v>
      </c>
      <c r="F55" s="166">
        <v>1</v>
      </c>
      <c r="G55" s="166">
        <v>5.3</v>
      </c>
      <c r="H55" s="166">
        <v>2</v>
      </c>
      <c r="I55" s="166">
        <v>2</v>
      </c>
      <c r="J55" s="166">
        <v>0.6875</v>
      </c>
      <c r="K55" s="166">
        <v>1.5</v>
      </c>
      <c r="L55" s="166">
        <v>4</v>
      </c>
      <c r="M55" s="166">
        <v>1</v>
      </c>
      <c r="N55" s="166">
        <v>2.5</v>
      </c>
      <c r="O55" s="166">
        <v>1.58</v>
      </c>
      <c r="P55" s="166">
        <v>1.925</v>
      </c>
      <c r="Q55" s="166">
        <v>0.5</v>
      </c>
      <c r="R55" s="166">
        <v>1</v>
      </c>
      <c r="S55" s="166">
        <v>0.5</v>
      </c>
      <c r="T55" s="166">
        <v>6.67</v>
      </c>
      <c r="U55" s="166">
        <v>0.77</v>
      </c>
      <c r="V55" s="166">
        <v>1.6160000000000001</v>
      </c>
      <c r="W55" s="166">
        <v>0.75</v>
      </c>
      <c r="X55" s="166">
        <v>3.18</v>
      </c>
      <c r="Y55" s="165"/>
      <c r="Z55" s="167" t="s">
        <v>243</v>
      </c>
      <c r="AA55" s="40" t="s">
        <v>387</v>
      </c>
    </row>
    <row r="56" spans="1:27" x14ac:dyDescent="0.25">
      <c r="A56" s="164" t="s">
        <v>244</v>
      </c>
      <c r="B56" s="165">
        <f>IF(B55&lt;1,0,1)</f>
        <v>1</v>
      </c>
      <c r="C56" s="165"/>
      <c r="D56" s="165"/>
      <c r="E56" s="165">
        <f t="shared" ref="E56:X56" si="16">IF(E55&lt;1,0,1)</f>
        <v>1</v>
      </c>
      <c r="F56" s="165">
        <f t="shared" si="16"/>
        <v>1</v>
      </c>
      <c r="G56" s="165">
        <f t="shared" si="16"/>
        <v>1</v>
      </c>
      <c r="H56" s="165">
        <f t="shared" si="16"/>
        <v>1</v>
      </c>
      <c r="I56" s="165">
        <f t="shared" si="16"/>
        <v>1</v>
      </c>
      <c r="J56" s="165">
        <f t="shared" si="16"/>
        <v>0</v>
      </c>
      <c r="K56" s="165">
        <f t="shared" si="16"/>
        <v>1</v>
      </c>
      <c r="L56" s="165">
        <f t="shared" si="16"/>
        <v>1</v>
      </c>
      <c r="M56" s="165">
        <f t="shared" si="16"/>
        <v>1</v>
      </c>
      <c r="N56" s="165">
        <f t="shared" si="16"/>
        <v>1</v>
      </c>
      <c r="O56" s="165">
        <f t="shared" si="16"/>
        <v>1</v>
      </c>
      <c r="P56" s="165">
        <f t="shared" si="16"/>
        <v>1</v>
      </c>
      <c r="Q56" s="165">
        <f t="shared" si="16"/>
        <v>0</v>
      </c>
      <c r="R56" s="165">
        <f t="shared" si="16"/>
        <v>1</v>
      </c>
      <c r="S56" s="165">
        <f t="shared" si="16"/>
        <v>0</v>
      </c>
      <c r="T56" s="165">
        <f t="shared" si="16"/>
        <v>1</v>
      </c>
      <c r="U56" s="165">
        <f t="shared" si="16"/>
        <v>0</v>
      </c>
      <c r="V56" s="165">
        <f t="shared" si="16"/>
        <v>1</v>
      </c>
      <c r="W56" s="165">
        <f t="shared" si="16"/>
        <v>0</v>
      </c>
      <c r="X56" s="165">
        <f t="shared" si="16"/>
        <v>1</v>
      </c>
      <c r="Y56" s="165"/>
      <c r="Z56" s="167" t="s">
        <v>245</v>
      </c>
      <c r="AA56" s="40" t="s">
        <v>387</v>
      </c>
    </row>
    <row r="57" spans="1:27" ht="17.25" x14ac:dyDescent="0.25">
      <c r="A57" s="164" t="s">
        <v>246</v>
      </c>
      <c r="B57" s="260">
        <f>((B49*0.00037*(B51^2)*B52*B53)+(B54*(B55-1)*B56)*B49)</f>
        <v>147965158.99934998</v>
      </c>
      <c r="C57" s="169"/>
      <c r="D57" s="165"/>
      <c r="E57" s="260">
        <f t="shared" ref="E57:X57" si="17">((E49*0.00037*(E51^2)*E52*E53)+(E54*(E55-1)*E56)*E49)</f>
        <v>267095.071</v>
      </c>
      <c r="F57" s="260">
        <f t="shared" si="17"/>
        <v>2749066.034</v>
      </c>
      <c r="G57" s="260">
        <f t="shared" si="17"/>
        <v>5724491.7292499999</v>
      </c>
      <c r="H57" s="260">
        <f t="shared" si="17"/>
        <v>49326198.896450669</v>
      </c>
      <c r="I57" s="260">
        <f t="shared" si="17"/>
        <v>11004803.665000001</v>
      </c>
      <c r="J57" s="260">
        <f t="shared" si="17"/>
        <v>276156.31724999996</v>
      </c>
      <c r="K57" s="260">
        <f t="shared" si="17"/>
        <v>82853.050229</v>
      </c>
      <c r="L57" s="260">
        <f t="shared" si="17"/>
        <v>2985944.67</v>
      </c>
      <c r="M57" s="260">
        <f t="shared" si="17"/>
        <v>7496306.0859375009</v>
      </c>
      <c r="N57" s="260">
        <f t="shared" si="17"/>
        <v>7908154.1009</v>
      </c>
      <c r="O57" s="260">
        <f t="shared" si="17"/>
        <v>196019.4735019615</v>
      </c>
      <c r="P57" s="260">
        <f t="shared" si="17"/>
        <v>16457032.388999375</v>
      </c>
      <c r="Q57" s="260">
        <f t="shared" si="17"/>
        <v>68197984.305000007</v>
      </c>
      <c r="R57" s="260">
        <f t="shared" si="17"/>
        <v>35075994.828483984</v>
      </c>
      <c r="S57" s="260">
        <f t="shared" si="17"/>
        <v>34759.427999999993</v>
      </c>
      <c r="T57" s="260">
        <f t="shared" si="17"/>
        <v>65227.125</v>
      </c>
      <c r="U57" s="259">
        <f t="shared" si="17"/>
        <v>21377808.000084374</v>
      </c>
      <c r="V57" s="260">
        <f t="shared" si="17"/>
        <v>42212132.2306557</v>
      </c>
      <c r="W57" s="260">
        <f t="shared" si="17"/>
        <v>95677.408282240009</v>
      </c>
      <c r="X57" s="260">
        <f t="shared" si="17"/>
        <v>262702910.88165599</v>
      </c>
      <c r="Y57" s="165"/>
      <c r="Z57" s="167" t="s">
        <v>254</v>
      </c>
      <c r="AA57" s="40" t="s">
        <v>387</v>
      </c>
    </row>
    <row r="58" spans="1:27" ht="17.25" x14ac:dyDescent="0.25">
      <c r="A58" s="255" t="s">
        <v>247</v>
      </c>
      <c r="B58" s="165">
        <f>B57/B48</f>
        <v>439065.75370726996</v>
      </c>
      <c r="C58" s="165"/>
      <c r="D58" s="165"/>
      <c r="E58" s="165">
        <f t="shared" ref="E58:X58" si="18">E57/E48</f>
        <v>44515.845166666666</v>
      </c>
      <c r="F58" s="165">
        <f t="shared" si="18"/>
        <v>343633.25425</v>
      </c>
      <c r="G58" s="165">
        <f t="shared" si="18"/>
        <v>212018.21219444444</v>
      </c>
      <c r="H58" s="165">
        <f t="shared" si="18"/>
        <v>4484199.8996773334</v>
      </c>
      <c r="I58" s="165">
        <f t="shared" si="18"/>
        <v>733653.57766666671</v>
      </c>
      <c r="J58" s="165">
        <f t="shared" si="18"/>
        <v>1891.4816249999997</v>
      </c>
      <c r="K58" s="165">
        <f t="shared" si="18"/>
        <v>4142.65251145</v>
      </c>
      <c r="L58" s="165">
        <f t="shared" si="18"/>
        <v>298594.467</v>
      </c>
      <c r="M58" s="165">
        <f t="shared" si="18"/>
        <v>187407.65214843751</v>
      </c>
      <c r="N58" s="165">
        <f t="shared" si="18"/>
        <v>44678.836728248585</v>
      </c>
      <c r="O58" s="165">
        <f t="shared" si="18"/>
        <v>65339.824500653835</v>
      </c>
      <c r="P58" s="165">
        <f t="shared" si="18"/>
        <v>121007.59109558363</v>
      </c>
      <c r="Q58" s="165">
        <f t="shared" si="18"/>
        <v>317199.92700000003</v>
      </c>
      <c r="R58" s="165">
        <f t="shared" si="18"/>
        <v>153842.08258107011</v>
      </c>
      <c r="S58" s="165">
        <f t="shared" si="18"/>
        <v>5793.2379999999985</v>
      </c>
      <c r="T58" s="165">
        <f t="shared" si="18"/>
        <v>21742.375</v>
      </c>
      <c r="U58" s="165">
        <f t="shared" si="18"/>
        <v>4275561.6000168752</v>
      </c>
      <c r="V58" s="165">
        <f t="shared" si="18"/>
        <v>373558.69230668759</v>
      </c>
      <c r="W58" s="165">
        <f t="shared" si="18"/>
        <v>47838.704141120004</v>
      </c>
      <c r="X58" s="165">
        <f t="shared" si="18"/>
        <v>9382246.8172019999</v>
      </c>
      <c r="Y58" s="165"/>
      <c r="Z58" s="167" t="s">
        <v>255</v>
      </c>
      <c r="AA58" s="40" t="s">
        <v>387</v>
      </c>
    </row>
    <row r="59" spans="1:27" ht="18" thickBot="1" x14ac:dyDescent="0.3">
      <c r="A59" s="186" t="s">
        <v>427</v>
      </c>
      <c r="B59" s="293">
        <f>B48*B54</f>
        <v>365083.33333333331</v>
      </c>
      <c r="C59" s="293"/>
      <c r="D59" s="293"/>
      <c r="E59" s="293">
        <f t="shared" ref="E59:X59" si="19">E48*E54</f>
        <v>50000</v>
      </c>
      <c r="F59" s="293">
        <f t="shared" si="19"/>
        <v>8333.3333333333339</v>
      </c>
      <c r="G59" s="293">
        <f t="shared" si="19"/>
        <v>146250</v>
      </c>
      <c r="H59" s="293">
        <f t="shared" si="19"/>
        <v>161791.66666666669</v>
      </c>
      <c r="I59" s="293">
        <f t="shared" si="19"/>
        <v>5312500</v>
      </c>
      <c r="J59" s="293">
        <f t="shared" si="19"/>
        <v>602250</v>
      </c>
      <c r="K59" s="293">
        <f t="shared" si="19"/>
        <v>69166.666666666672</v>
      </c>
      <c r="L59" s="293">
        <f t="shared" si="19"/>
        <v>38333.333333333336</v>
      </c>
      <c r="M59" s="293">
        <f t="shared" si="19"/>
        <v>10833333.333333332</v>
      </c>
      <c r="N59" s="293">
        <f t="shared" si="19"/>
        <v>1843750</v>
      </c>
      <c r="O59" s="293">
        <f t="shared" si="19"/>
        <v>90875</v>
      </c>
      <c r="P59" s="293">
        <f t="shared" si="19"/>
        <v>4958333.333333334</v>
      </c>
      <c r="Q59" s="293">
        <f t="shared" si="19"/>
        <v>895833.33333333337</v>
      </c>
      <c r="R59" s="293">
        <f t="shared" si="19"/>
        <v>14250000</v>
      </c>
      <c r="S59" s="293">
        <f t="shared" si="19"/>
        <v>3000</v>
      </c>
      <c r="T59" s="293">
        <f t="shared" si="19"/>
        <v>18750</v>
      </c>
      <c r="U59" s="293">
        <f t="shared" si="19"/>
        <v>8654.1666666666661</v>
      </c>
      <c r="V59" s="293">
        <f t="shared" si="19"/>
        <v>597958.33333333337</v>
      </c>
      <c r="W59" s="293">
        <f t="shared" si="19"/>
        <v>36083.333333333336</v>
      </c>
      <c r="X59" s="293">
        <f t="shared" si="19"/>
        <v>96833.333333333343</v>
      </c>
      <c r="Y59" s="293"/>
      <c r="Z59" s="175" t="s">
        <v>241</v>
      </c>
    </row>
    <row r="62" spans="1:27" ht="19.5" thickBot="1" x14ac:dyDescent="0.35">
      <c r="A62" s="189"/>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row>
    <row r="63" spans="1:27" ht="15.75" thickBot="1" x14ac:dyDescent="0.3">
      <c r="A63" s="379" t="s">
        <v>271</v>
      </c>
      <c r="B63" s="380"/>
      <c r="C63" s="380"/>
      <c r="D63" s="380"/>
      <c r="E63" s="380"/>
      <c r="F63" s="380"/>
      <c r="G63" s="380"/>
      <c r="H63" s="381"/>
      <c r="I63" s="194"/>
      <c r="J63" s="194"/>
      <c r="K63" s="194"/>
      <c r="L63" s="194"/>
      <c r="M63" s="194"/>
      <c r="N63" s="165"/>
      <c r="O63" s="165"/>
      <c r="P63" s="165"/>
      <c r="Q63" s="165"/>
      <c r="R63" s="165"/>
      <c r="S63" s="165"/>
      <c r="T63" s="165"/>
      <c r="U63" s="165"/>
      <c r="V63" s="165"/>
      <c r="W63" s="165"/>
      <c r="X63" s="165"/>
      <c r="Y63" s="165"/>
      <c r="Z63" s="165"/>
    </row>
    <row r="64" spans="1:27" ht="30" x14ac:dyDescent="0.25">
      <c r="A64" s="200" t="s">
        <v>227</v>
      </c>
      <c r="B64" s="193" t="s">
        <v>258</v>
      </c>
      <c r="C64" s="193" t="s">
        <v>259</v>
      </c>
      <c r="D64" s="193" t="s">
        <v>260</v>
      </c>
      <c r="E64" s="193" t="s">
        <v>257</v>
      </c>
      <c r="F64" s="193" t="s">
        <v>261</v>
      </c>
      <c r="G64" s="193" t="s">
        <v>262</v>
      </c>
      <c r="H64" s="201" t="s">
        <v>92</v>
      </c>
      <c r="I64" s="193"/>
      <c r="J64" s="193"/>
      <c r="K64" s="193"/>
      <c r="L64" s="193"/>
      <c r="M64" s="193"/>
      <c r="N64" s="165"/>
      <c r="O64" s="165"/>
      <c r="P64" s="165"/>
      <c r="Q64" s="165"/>
      <c r="R64" s="165"/>
      <c r="S64" s="165"/>
      <c r="T64" s="165"/>
      <c r="U64" s="165"/>
      <c r="V64" s="165"/>
      <c r="W64" s="165"/>
    </row>
    <row r="65" spans="1:26" x14ac:dyDescent="0.25">
      <c r="A65" s="161"/>
      <c r="B65" s="202"/>
      <c r="C65" s="202"/>
      <c r="D65" s="202"/>
      <c r="E65" s="202"/>
      <c r="F65" s="202"/>
      <c r="G65" s="202"/>
      <c r="H65" s="167"/>
      <c r="I65" s="40" t="s">
        <v>387</v>
      </c>
      <c r="J65" s="165"/>
      <c r="K65" s="165"/>
      <c r="L65" s="165"/>
      <c r="M65" s="165"/>
      <c r="N65" s="165"/>
      <c r="O65" s="165"/>
      <c r="P65" s="165"/>
      <c r="Q65" s="165"/>
      <c r="R65" s="165"/>
      <c r="S65" s="165"/>
      <c r="T65" s="165"/>
      <c r="U65" s="165"/>
      <c r="V65" s="165"/>
      <c r="W65" s="165"/>
    </row>
    <row r="66" spans="1:26" x14ac:dyDescent="0.25">
      <c r="A66" s="164" t="s">
        <v>424</v>
      </c>
      <c r="B66" s="206">
        <f t="shared" ref="B66:B71" si="20">SUMPRODUCT(B7:C7,$B$16:$C$16)/SUM($B$16:$C$16)</f>
        <v>38.638140050277848</v>
      </c>
      <c r="C66" s="206">
        <f t="shared" ref="C66:C71" si="21">MIN(B7:C7)</f>
        <v>38.545454545454547</v>
      </c>
      <c r="D66" s="206">
        <f t="shared" ref="D66:D71" si="22">MAX(B7:C7)</f>
        <v>38.688073394495412</v>
      </c>
      <c r="E66" s="206">
        <f t="shared" ref="E66:E71" si="23">SUMPRODUCT(F7:H7,$F$16:$H$16)/SUM($F$16:$H$16)</f>
        <v>2915.0538996368605</v>
      </c>
      <c r="F66" s="206">
        <f t="shared" ref="F66:F71" si="24">MIN(F7:H7)</f>
        <v>11.5</v>
      </c>
      <c r="G66" s="206">
        <f t="shared" ref="G66:G71" si="25">MAX(F7:H7)</f>
        <v>2987.268292682927</v>
      </c>
      <c r="H66" s="167" t="s">
        <v>249</v>
      </c>
      <c r="I66" s="40" t="s">
        <v>387</v>
      </c>
      <c r="J66" s="165"/>
      <c r="K66" s="165"/>
      <c r="L66" s="165"/>
      <c r="M66" s="165"/>
      <c r="N66" s="165"/>
      <c r="O66" s="165"/>
      <c r="P66" s="165"/>
      <c r="Q66" s="165"/>
      <c r="R66" s="165"/>
      <c r="S66" s="165"/>
      <c r="T66" s="165"/>
      <c r="U66" s="165"/>
      <c r="V66" s="165"/>
      <c r="W66" s="165"/>
    </row>
    <row r="67" spans="1:26" x14ac:dyDescent="0.25">
      <c r="A67" s="164" t="s">
        <v>234</v>
      </c>
      <c r="B67" s="206">
        <f t="shared" si="20"/>
        <v>2.2437059655332097</v>
      </c>
      <c r="C67" s="206">
        <f t="shared" si="21"/>
        <v>2</v>
      </c>
      <c r="D67" s="206">
        <f t="shared" si="22"/>
        <v>2.375</v>
      </c>
      <c r="E67" s="206">
        <f t="shared" si="23"/>
        <v>2.0030733763314794</v>
      </c>
      <c r="F67" s="206">
        <f t="shared" si="24"/>
        <v>1.9950000000000001</v>
      </c>
      <c r="G67" s="206">
        <f t="shared" si="25"/>
        <v>2.375</v>
      </c>
      <c r="H67" s="167" t="s">
        <v>235</v>
      </c>
      <c r="I67" s="40" t="s">
        <v>387</v>
      </c>
      <c r="J67" s="165"/>
      <c r="K67" s="165"/>
      <c r="L67" s="165"/>
      <c r="M67" s="165"/>
      <c r="N67" s="165"/>
      <c r="O67" s="165"/>
      <c r="P67" s="165"/>
      <c r="Q67" s="165"/>
      <c r="R67" s="165"/>
      <c r="S67" s="165"/>
      <c r="T67" s="165"/>
      <c r="U67" s="165"/>
      <c r="V67" s="165"/>
      <c r="W67" s="165"/>
    </row>
    <row r="68" spans="1:26" x14ac:dyDescent="0.25">
      <c r="A68" s="164" t="s">
        <v>236</v>
      </c>
      <c r="B68" s="206">
        <f t="shared" si="20"/>
        <v>3422.4414279571315</v>
      </c>
      <c r="C68" s="206">
        <f t="shared" si="21"/>
        <v>3375</v>
      </c>
      <c r="D68" s="206">
        <f t="shared" si="22"/>
        <v>3448</v>
      </c>
      <c r="E68" s="206">
        <f t="shared" si="23"/>
        <v>4402.3276760286508</v>
      </c>
      <c r="F68" s="206">
        <f t="shared" si="24"/>
        <v>4269</v>
      </c>
      <c r="G68" s="206">
        <f t="shared" si="25"/>
        <v>9500</v>
      </c>
      <c r="H68" s="167" t="s">
        <v>237</v>
      </c>
      <c r="I68" s="40" t="s">
        <v>387</v>
      </c>
      <c r="J68" s="165"/>
      <c r="K68" s="165"/>
      <c r="L68" s="165"/>
      <c r="M68" s="165"/>
      <c r="N68" s="165"/>
      <c r="O68" s="165"/>
      <c r="P68" s="165"/>
      <c r="Q68" s="165"/>
      <c r="R68" s="165"/>
      <c r="S68" s="165"/>
      <c r="T68" s="165"/>
      <c r="U68" s="165"/>
      <c r="V68" s="165"/>
      <c r="W68" s="165"/>
    </row>
    <row r="69" spans="1:26" x14ac:dyDescent="0.25">
      <c r="A69" s="164" t="s">
        <v>238</v>
      </c>
      <c r="B69" s="206">
        <f t="shared" si="20"/>
        <v>76.954109883567071</v>
      </c>
      <c r="C69" s="206">
        <f t="shared" si="21"/>
        <v>64.7</v>
      </c>
      <c r="D69" s="206">
        <f t="shared" si="22"/>
        <v>99.7</v>
      </c>
      <c r="E69" s="206">
        <f t="shared" si="23"/>
        <v>84.492890932482965</v>
      </c>
      <c r="F69" s="206">
        <f t="shared" si="24"/>
        <v>40.200000000000003</v>
      </c>
      <c r="G69" s="206">
        <f t="shared" si="25"/>
        <v>514.70000000000005</v>
      </c>
      <c r="H69" s="167" t="s">
        <v>239</v>
      </c>
      <c r="I69" s="40" t="s">
        <v>387</v>
      </c>
      <c r="J69" s="165"/>
      <c r="K69" s="165"/>
      <c r="L69" s="165"/>
      <c r="M69" s="165"/>
      <c r="N69" s="165"/>
      <c r="O69" s="165"/>
      <c r="P69" s="165"/>
      <c r="Q69" s="165"/>
      <c r="R69" s="165"/>
      <c r="S69" s="165"/>
      <c r="T69" s="165"/>
      <c r="U69" s="165"/>
      <c r="V69" s="165"/>
      <c r="W69" s="165"/>
    </row>
    <row r="70" spans="1:26" ht="17.25" x14ac:dyDescent="0.25">
      <c r="A70" s="164" t="s">
        <v>240</v>
      </c>
      <c r="B70" s="206">
        <f t="shared" si="20"/>
        <v>382.40249707815121</v>
      </c>
      <c r="C70" s="206">
        <f t="shared" si="21"/>
        <v>300.41666666666669</v>
      </c>
      <c r="D70" s="206">
        <f t="shared" si="22"/>
        <v>534.58333333333337</v>
      </c>
      <c r="E70" s="206">
        <f t="shared" si="23"/>
        <v>3443.6685353292664</v>
      </c>
      <c r="F70" s="206">
        <f t="shared" si="24"/>
        <v>1250</v>
      </c>
      <c r="G70" s="206">
        <f t="shared" si="25"/>
        <v>3500</v>
      </c>
      <c r="H70" s="167" t="s">
        <v>241</v>
      </c>
      <c r="I70" s="40" t="s">
        <v>387</v>
      </c>
      <c r="J70" s="165"/>
      <c r="K70" s="165"/>
      <c r="L70" s="165"/>
      <c r="M70" s="165"/>
      <c r="N70" s="165"/>
      <c r="O70" s="165"/>
      <c r="P70" s="165"/>
      <c r="Q70" s="165"/>
      <c r="R70" s="165"/>
      <c r="S70" s="165"/>
      <c r="T70" s="165"/>
      <c r="U70" s="165"/>
      <c r="V70" s="165"/>
      <c r="W70" s="165"/>
    </row>
    <row r="71" spans="1:26" x14ac:dyDescent="0.25">
      <c r="A71" s="164" t="s">
        <v>242</v>
      </c>
      <c r="B71" s="206">
        <f t="shared" si="20"/>
        <v>0.54508219767134158</v>
      </c>
      <c r="C71" s="206">
        <f t="shared" si="21"/>
        <v>0.3</v>
      </c>
      <c r="D71" s="206">
        <f t="shared" si="22"/>
        <v>1</v>
      </c>
      <c r="E71" s="206">
        <f t="shared" si="23"/>
        <v>7.28984151185878E-2</v>
      </c>
      <c r="F71" s="206">
        <f t="shared" si="24"/>
        <v>6.7000000000000004E-2</v>
      </c>
      <c r="G71" s="206">
        <f t="shared" si="25"/>
        <v>0.75</v>
      </c>
      <c r="H71" s="167" t="s">
        <v>243</v>
      </c>
      <c r="I71" s="40" t="s">
        <v>387</v>
      </c>
      <c r="J71" s="165"/>
      <c r="K71" s="165"/>
      <c r="L71" s="165"/>
      <c r="M71" s="165"/>
      <c r="N71" s="165"/>
      <c r="O71" s="165"/>
      <c r="P71" s="165"/>
      <c r="Q71" s="165"/>
      <c r="R71" s="165"/>
      <c r="S71" s="165"/>
      <c r="T71" s="165"/>
      <c r="U71" s="165"/>
      <c r="V71" s="165"/>
      <c r="W71" s="165"/>
    </row>
    <row r="72" spans="1:26" x14ac:dyDescent="0.25">
      <c r="A72" s="164" t="s">
        <v>244</v>
      </c>
      <c r="B72" s="202">
        <f t="shared" ref="B72:G72" si="26">IF(B71&lt;0.5,0,1)</f>
        <v>1</v>
      </c>
      <c r="C72" s="202">
        <f t="shared" si="26"/>
        <v>0</v>
      </c>
      <c r="D72" s="202">
        <f t="shared" si="26"/>
        <v>1</v>
      </c>
      <c r="E72" s="202">
        <f t="shared" si="26"/>
        <v>0</v>
      </c>
      <c r="F72" s="202">
        <f t="shared" si="26"/>
        <v>0</v>
      </c>
      <c r="G72" s="202">
        <f t="shared" si="26"/>
        <v>1</v>
      </c>
      <c r="H72" s="167" t="s">
        <v>245</v>
      </c>
      <c r="I72" s="40" t="s">
        <v>387</v>
      </c>
      <c r="J72" s="165"/>
      <c r="K72" s="165"/>
      <c r="L72" s="165"/>
      <c r="M72" s="165"/>
      <c r="N72" s="165"/>
      <c r="O72" s="165"/>
      <c r="P72" s="165"/>
      <c r="Q72" s="165"/>
      <c r="R72" s="165"/>
      <c r="S72" s="165"/>
      <c r="T72" s="165"/>
      <c r="U72" s="165"/>
      <c r="V72" s="165"/>
      <c r="W72" s="165"/>
      <c r="X72" s="165"/>
      <c r="Y72" s="165"/>
      <c r="Z72" s="165"/>
    </row>
    <row r="73" spans="1:26" ht="18" thickBot="1" x14ac:dyDescent="0.3">
      <c r="A73" s="186" t="s">
        <v>247</v>
      </c>
      <c r="B73" s="203">
        <f t="shared" ref="B73:G73" si="27">((B66*0.00037*(B67^2)*B68*B69)+(B70*(B71-0.5)*B72))</f>
        <v>18971.972276791221</v>
      </c>
      <c r="C73" s="203">
        <f t="shared" si="27"/>
        <v>12456.985090909093</v>
      </c>
      <c r="D73" s="203">
        <f t="shared" si="27"/>
        <v>28024.032509078363</v>
      </c>
      <c r="E73" s="203">
        <f t="shared" si="27"/>
        <v>1609698.5965751109</v>
      </c>
      <c r="F73" s="203">
        <f t="shared" si="27"/>
        <v>2906.2807970379758</v>
      </c>
      <c r="G73" s="203">
        <f t="shared" si="27"/>
        <v>30485506.861333463</v>
      </c>
      <c r="H73" s="167" t="s">
        <v>426</v>
      </c>
      <c r="I73" s="40" t="s">
        <v>387</v>
      </c>
      <c r="J73" s="165"/>
      <c r="K73" s="165"/>
      <c r="L73" s="165"/>
      <c r="M73" s="165"/>
      <c r="N73" s="165"/>
      <c r="O73" s="165"/>
      <c r="P73" s="165"/>
      <c r="Q73" s="165"/>
      <c r="R73" s="165"/>
      <c r="S73" s="165"/>
      <c r="T73" s="165"/>
      <c r="U73" s="165"/>
      <c r="V73" s="165"/>
      <c r="W73" s="165"/>
      <c r="X73" s="165"/>
      <c r="Y73" s="165"/>
      <c r="Z73" s="165"/>
    </row>
    <row r="74" spans="1:26" ht="15.75" thickBot="1" x14ac:dyDescent="0.3">
      <c r="A74" s="164"/>
      <c r="B74" s="203"/>
      <c r="C74" s="203"/>
      <c r="D74" s="203"/>
      <c r="E74" s="203"/>
      <c r="F74" s="203"/>
      <c r="G74" s="203"/>
      <c r="H74" s="167"/>
      <c r="I74" s="40" t="s">
        <v>387</v>
      </c>
      <c r="J74" s="165"/>
      <c r="K74" s="165"/>
      <c r="L74" s="165"/>
      <c r="M74" s="165"/>
      <c r="N74" s="165"/>
      <c r="O74" s="165"/>
      <c r="P74" s="165"/>
      <c r="Q74" s="165"/>
      <c r="R74" s="165"/>
      <c r="S74" s="165"/>
      <c r="T74" s="165"/>
      <c r="U74" s="165"/>
      <c r="V74" s="165"/>
      <c r="W74" s="165"/>
      <c r="X74" s="165"/>
      <c r="Y74" s="165"/>
      <c r="Z74" s="165"/>
    </row>
    <row r="75" spans="1:26" ht="15" customHeight="1" x14ac:dyDescent="0.25">
      <c r="A75" s="387" t="s">
        <v>270</v>
      </c>
      <c r="B75" s="385"/>
      <c r="C75" s="385"/>
      <c r="D75" s="385"/>
      <c r="E75" s="385"/>
      <c r="F75" s="385"/>
      <c r="G75" s="385"/>
      <c r="H75" s="385"/>
      <c r="I75" s="385"/>
      <c r="J75" s="385"/>
      <c r="K75" s="385"/>
      <c r="L75" s="385"/>
      <c r="M75" s="385"/>
      <c r="N75" s="386"/>
      <c r="O75" s="165"/>
      <c r="P75" s="165"/>
      <c r="Q75" s="165"/>
      <c r="R75" s="165"/>
      <c r="S75" s="165"/>
      <c r="T75" s="165"/>
      <c r="U75" s="165"/>
      <c r="V75" s="165"/>
      <c r="W75" s="165"/>
      <c r="X75" s="165"/>
      <c r="Y75" s="165"/>
      <c r="Z75" s="165"/>
    </row>
    <row r="76" spans="1:26" ht="30" x14ac:dyDescent="0.25">
      <c r="A76" s="200" t="s">
        <v>227</v>
      </c>
      <c r="B76" s="193" t="s">
        <v>258</v>
      </c>
      <c r="C76" s="193" t="s">
        <v>259</v>
      </c>
      <c r="D76" s="193" t="s">
        <v>260</v>
      </c>
      <c r="E76" s="193" t="s">
        <v>257</v>
      </c>
      <c r="F76" s="193" t="s">
        <v>261</v>
      </c>
      <c r="G76" s="193" t="s">
        <v>262</v>
      </c>
      <c r="H76" s="193" t="s">
        <v>263</v>
      </c>
      <c r="I76" s="193" t="s">
        <v>264</v>
      </c>
      <c r="J76" s="193" t="s">
        <v>265</v>
      </c>
      <c r="K76" s="205" t="s">
        <v>272</v>
      </c>
      <c r="L76" s="205" t="s">
        <v>273</v>
      </c>
      <c r="M76" s="205" t="s">
        <v>274</v>
      </c>
      <c r="N76" s="201" t="s">
        <v>92</v>
      </c>
      <c r="O76" s="165"/>
      <c r="P76" s="165"/>
      <c r="Q76" s="165"/>
      <c r="R76" s="165"/>
      <c r="S76" s="165"/>
      <c r="T76" s="165"/>
      <c r="U76" s="165"/>
      <c r="V76" s="165"/>
      <c r="W76" s="165"/>
      <c r="X76" s="165"/>
      <c r="Y76" s="165"/>
      <c r="Z76" s="165"/>
    </row>
    <row r="77" spans="1:26" s="135" customFormat="1" x14ac:dyDescent="0.25">
      <c r="A77" s="254"/>
      <c r="B77" s="202"/>
      <c r="C77" s="202"/>
      <c r="D77" s="202"/>
      <c r="E77" s="202"/>
      <c r="F77" s="202"/>
      <c r="G77" s="202"/>
      <c r="H77" s="202"/>
      <c r="I77" s="202"/>
      <c r="J77" s="202"/>
      <c r="K77" s="255"/>
      <c r="L77" s="255"/>
      <c r="M77" s="255"/>
      <c r="N77" s="256"/>
      <c r="O77" s="135" t="s">
        <v>387</v>
      </c>
      <c r="P77" s="166"/>
      <c r="Q77" s="166"/>
      <c r="R77" s="166"/>
      <c r="S77" s="166"/>
      <c r="T77" s="166"/>
      <c r="U77" s="166"/>
      <c r="V77" s="166"/>
      <c r="W77" s="166"/>
      <c r="X77" s="166"/>
      <c r="Y77" s="166"/>
      <c r="Z77" s="166"/>
    </row>
    <row r="78" spans="1:26" x14ac:dyDescent="0.25">
      <c r="A78" s="164" t="s">
        <v>424</v>
      </c>
      <c r="B78" s="206">
        <f t="shared" ref="B78:B83" si="28">SUMPRODUCT(B21:C21,$B$30:$C$30)/SUM($B$30:$C$30)</f>
        <v>37.781692446190362</v>
      </c>
      <c r="C78" s="206">
        <f t="shared" ref="C78:C83" si="29">MIN(B21:C21)</f>
        <v>22.815789473684209</v>
      </c>
      <c r="D78" s="206">
        <f t="shared" ref="D78:D83" si="30">MAX(B21:C21)</f>
        <v>43.305676855895193</v>
      </c>
      <c r="E78" s="206">
        <f t="shared" ref="E78:E83" si="31">SUMPRODUCT(F21:G21,$F$30:$G$30)/SUM($F$30:$G$30)</f>
        <v>63.177619576486805</v>
      </c>
      <c r="F78" s="206">
        <f t="shared" ref="F78:F83" si="32">MIN(F21:G21)</f>
        <v>1</v>
      </c>
      <c r="G78" s="206">
        <f t="shared" ref="G78:G83" si="33">MAX(F21:G21)</f>
        <v>64.315789473684205</v>
      </c>
      <c r="H78" s="206">
        <f t="shared" ref="H78:J83" si="34">$I21</f>
        <v>4</v>
      </c>
      <c r="I78" s="206">
        <f t="shared" si="34"/>
        <v>4</v>
      </c>
      <c r="J78" s="206">
        <f t="shared" si="34"/>
        <v>4</v>
      </c>
      <c r="K78" s="206">
        <f t="shared" ref="K78:K83" si="35">SUMPRODUCT(D21:E21,$D$30:$E$30)/SUM($D$30:$E$30)</f>
        <v>10.949367088607595</v>
      </c>
      <c r="L78" s="207">
        <f t="shared" ref="L78:L83" si="36">MIN(D21:E21)</f>
        <v>10</v>
      </c>
      <c r="M78" s="207">
        <f t="shared" ref="M78:M83" si="37">MAX(D21:E21)</f>
        <v>12</v>
      </c>
      <c r="N78" s="167" t="s">
        <v>249</v>
      </c>
      <c r="O78" s="40" t="s">
        <v>387</v>
      </c>
      <c r="P78" s="192"/>
      <c r="Q78" s="192"/>
      <c r="R78" s="401"/>
      <c r="S78" s="402"/>
      <c r="T78" s="402"/>
      <c r="U78" s="401"/>
      <c r="V78" s="403"/>
      <c r="W78" s="403"/>
      <c r="X78" s="403"/>
      <c r="Y78" s="403"/>
      <c r="Z78" s="190"/>
    </row>
    <row r="79" spans="1:26" x14ac:dyDescent="0.25">
      <c r="A79" s="164" t="s">
        <v>250</v>
      </c>
      <c r="B79" s="206">
        <f t="shared" si="28"/>
        <v>4.634797822620067</v>
      </c>
      <c r="C79" s="206">
        <f t="shared" si="29"/>
        <v>4.5</v>
      </c>
      <c r="D79" s="206">
        <f t="shared" si="30"/>
        <v>5</v>
      </c>
      <c r="E79" s="206">
        <f t="shared" si="31"/>
        <v>4.0149201490264357</v>
      </c>
      <c r="F79" s="206">
        <f t="shared" si="32"/>
        <v>4</v>
      </c>
      <c r="G79" s="206">
        <f t="shared" si="33"/>
        <v>4.83</v>
      </c>
      <c r="H79" s="206">
        <f t="shared" si="34"/>
        <v>5.5</v>
      </c>
      <c r="I79" s="206">
        <f t="shared" si="34"/>
        <v>5.5</v>
      </c>
      <c r="J79" s="206">
        <f t="shared" si="34"/>
        <v>5.5</v>
      </c>
      <c r="K79" s="206">
        <f t="shared" si="35"/>
        <v>4.5281645569620252</v>
      </c>
      <c r="L79" s="207">
        <f t="shared" si="36"/>
        <v>3.65</v>
      </c>
      <c r="M79" s="207">
        <f t="shared" si="37"/>
        <v>5.5</v>
      </c>
      <c r="N79" s="167" t="s">
        <v>235</v>
      </c>
      <c r="O79" s="40" t="s">
        <v>387</v>
      </c>
      <c r="P79" s="172"/>
      <c r="Q79" s="172"/>
      <c r="R79" s="172"/>
      <c r="S79" s="172"/>
      <c r="T79" s="172"/>
      <c r="U79" s="172"/>
      <c r="V79" s="172"/>
      <c r="W79" s="172"/>
      <c r="X79" s="172"/>
      <c r="Y79" s="172"/>
      <c r="Z79" s="190"/>
    </row>
    <row r="80" spans="1:26" x14ac:dyDescent="0.25">
      <c r="A80" s="164" t="s">
        <v>236</v>
      </c>
      <c r="B80" s="206">
        <f t="shared" si="28"/>
        <v>3428.3195178974706</v>
      </c>
      <c r="C80" s="206">
        <f t="shared" si="29"/>
        <v>3375</v>
      </c>
      <c r="D80" s="206">
        <f t="shared" si="30"/>
        <v>3448</v>
      </c>
      <c r="E80" s="206">
        <f t="shared" si="31"/>
        <v>4318.6858938663499</v>
      </c>
      <c r="F80" s="206">
        <f t="shared" si="32"/>
        <v>4269</v>
      </c>
      <c r="G80" s="206">
        <f t="shared" si="33"/>
        <v>7033</v>
      </c>
      <c r="H80" s="206">
        <f t="shared" si="34"/>
        <v>8000</v>
      </c>
      <c r="I80" s="206">
        <f t="shared" si="34"/>
        <v>8000</v>
      </c>
      <c r="J80" s="206">
        <f t="shared" si="34"/>
        <v>8000</v>
      </c>
      <c r="K80" s="206">
        <f t="shared" si="35"/>
        <v>14903.303797468354</v>
      </c>
      <c r="L80" s="207">
        <f t="shared" si="36"/>
        <v>10000</v>
      </c>
      <c r="M80" s="207">
        <f t="shared" si="37"/>
        <v>19334</v>
      </c>
      <c r="N80" s="167" t="s">
        <v>237</v>
      </c>
      <c r="O80" s="40" t="s">
        <v>387</v>
      </c>
      <c r="P80" s="169"/>
      <c r="Q80" s="169"/>
      <c r="R80" s="169"/>
      <c r="S80" s="169"/>
      <c r="T80" s="169"/>
      <c r="U80" s="169"/>
      <c r="V80" s="169"/>
      <c r="W80" s="169"/>
      <c r="X80" s="169"/>
      <c r="Y80" s="169"/>
      <c r="Z80" s="165"/>
    </row>
    <row r="81" spans="1:26" x14ac:dyDescent="0.25">
      <c r="A81" s="164" t="s">
        <v>238</v>
      </c>
      <c r="B81" s="206">
        <f t="shared" si="28"/>
        <v>74.135847583404683</v>
      </c>
      <c r="C81" s="206">
        <f t="shared" si="29"/>
        <v>64.7</v>
      </c>
      <c r="D81" s="206">
        <f t="shared" si="30"/>
        <v>99.7</v>
      </c>
      <c r="E81" s="206">
        <f t="shared" si="31"/>
        <v>74.865444264297338</v>
      </c>
      <c r="F81" s="206">
        <f t="shared" si="32"/>
        <v>40.200000000000003</v>
      </c>
      <c r="G81" s="206">
        <f t="shared" si="33"/>
        <v>75.5</v>
      </c>
      <c r="H81" s="206">
        <f t="shared" si="34"/>
        <v>114.7</v>
      </c>
      <c r="I81" s="206">
        <f t="shared" si="34"/>
        <v>114.7</v>
      </c>
      <c r="J81" s="206">
        <f t="shared" si="34"/>
        <v>114.7</v>
      </c>
      <c r="K81" s="206">
        <f t="shared" si="35"/>
        <v>163.32025316455696</v>
      </c>
      <c r="L81" s="207">
        <f t="shared" si="36"/>
        <v>79.900000000000006</v>
      </c>
      <c r="M81" s="207">
        <f t="shared" si="37"/>
        <v>238.7</v>
      </c>
      <c r="N81" s="167" t="s">
        <v>239</v>
      </c>
      <c r="O81" s="40" t="s">
        <v>387</v>
      </c>
      <c r="P81" s="169"/>
      <c r="Q81" s="169"/>
      <c r="R81" s="169"/>
      <c r="S81" s="169"/>
      <c r="T81" s="169"/>
      <c r="U81" s="169"/>
      <c r="V81" s="169"/>
      <c r="W81" s="169"/>
      <c r="X81" s="169"/>
      <c r="Y81" s="169"/>
      <c r="Z81" s="165"/>
    </row>
    <row r="82" spans="1:26" ht="17.25" x14ac:dyDescent="0.25">
      <c r="A82" s="164" t="s">
        <v>240</v>
      </c>
      <c r="B82" s="206">
        <f t="shared" si="28"/>
        <v>363.54698026039796</v>
      </c>
      <c r="C82" s="206">
        <f t="shared" si="29"/>
        <v>300.41666666666669</v>
      </c>
      <c r="D82" s="206">
        <f t="shared" si="30"/>
        <v>534.58333333333337</v>
      </c>
      <c r="E82" s="206">
        <f t="shared" si="31"/>
        <v>3480.8479813952817</v>
      </c>
      <c r="F82" s="206">
        <f t="shared" si="32"/>
        <v>2434.5833333333335</v>
      </c>
      <c r="G82" s="206">
        <f t="shared" si="33"/>
        <v>3500</v>
      </c>
      <c r="H82" s="206">
        <f t="shared" si="34"/>
        <v>4166.666666666667</v>
      </c>
      <c r="I82" s="206">
        <f t="shared" si="34"/>
        <v>4166.666666666667</v>
      </c>
      <c r="J82" s="206">
        <f t="shared" si="34"/>
        <v>4166.666666666667</v>
      </c>
      <c r="K82" s="206">
        <f t="shared" si="35"/>
        <v>20467.299578059072</v>
      </c>
      <c r="L82" s="207">
        <f t="shared" si="36"/>
        <v>12500</v>
      </c>
      <c r="M82" s="207">
        <f t="shared" si="37"/>
        <v>27666.666666666668</v>
      </c>
      <c r="N82" s="167" t="s">
        <v>241</v>
      </c>
      <c r="O82" s="40" t="s">
        <v>387</v>
      </c>
      <c r="P82" s="165"/>
      <c r="Q82" s="165"/>
      <c r="R82" s="165"/>
      <c r="S82" s="165"/>
      <c r="T82" s="165"/>
      <c r="U82" s="165"/>
      <c r="V82" s="165"/>
      <c r="W82" s="165"/>
      <c r="X82" s="165"/>
      <c r="Y82" s="165"/>
      <c r="Z82" s="165"/>
    </row>
    <row r="83" spans="1:26" x14ac:dyDescent="0.25">
      <c r="A83" s="164" t="s">
        <v>242</v>
      </c>
      <c r="B83" s="206">
        <f t="shared" si="28"/>
        <v>1.7304043547598669</v>
      </c>
      <c r="C83" s="206">
        <f t="shared" si="29"/>
        <v>1</v>
      </c>
      <c r="D83" s="206">
        <f t="shared" si="30"/>
        <v>2</v>
      </c>
      <c r="E83" s="206">
        <f t="shared" si="31"/>
        <v>4.8655124091274073</v>
      </c>
      <c r="F83" s="206">
        <f t="shared" si="32"/>
        <v>0.25</v>
      </c>
      <c r="G83" s="206">
        <f t="shared" si="33"/>
        <v>4.95</v>
      </c>
      <c r="H83" s="206">
        <f t="shared" si="34"/>
        <v>1</v>
      </c>
      <c r="I83" s="206">
        <f t="shared" si="34"/>
        <v>1</v>
      </c>
      <c r="J83" s="206">
        <f t="shared" si="34"/>
        <v>1</v>
      </c>
      <c r="K83" s="206">
        <f t="shared" si="35"/>
        <v>1.7879746835443038</v>
      </c>
      <c r="L83" s="207">
        <f t="shared" si="36"/>
        <v>1</v>
      </c>
      <c r="M83" s="207">
        <f t="shared" si="37"/>
        <v>2.5</v>
      </c>
      <c r="N83" s="167" t="s">
        <v>243</v>
      </c>
      <c r="O83" s="40" t="s">
        <v>387</v>
      </c>
      <c r="P83" s="192"/>
      <c r="Q83" s="192"/>
      <c r="R83" s="401"/>
      <c r="S83" s="402"/>
      <c r="T83" s="402"/>
      <c r="U83" s="401"/>
      <c r="V83" s="403"/>
      <c r="W83" s="403"/>
      <c r="X83" s="403"/>
      <c r="Y83" s="403"/>
      <c r="Z83" s="190"/>
    </row>
    <row r="84" spans="1:26" x14ac:dyDescent="0.25">
      <c r="A84" s="164" t="s">
        <v>244</v>
      </c>
      <c r="B84" s="192">
        <f t="shared" ref="B84:J84" si="38">IF(B83&lt;0.5,0,1)</f>
        <v>1</v>
      </c>
      <c r="C84" s="192">
        <f t="shared" si="38"/>
        <v>1</v>
      </c>
      <c r="D84" s="192">
        <f t="shared" si="38"/>
        <v>1</v>
      </c>
      <c r="E84" s="192">
        <f t="shared" si="38"/>
        <v>1</v>
      </c>
      <c r="F84" s="192">
        <f t="shared" si="38"/>
        <v>0</v>
      </c>
      <c r="G84" s="192">
        <f t="shared" si="38"/>
        <v>1</v>
      </c>
      <c r="H84" s="192">
        <f t="shared" si="38"/>
        <v>1</v>
      </c>
      <c r="I84" s="192">
        <f t="shared" si="38"/>
        <v>1</v>
      </c>
      <c r="J84" s="192">
        <f t="shared" si="38"/>
        <v>1</v>
      </c>
      <c r="K84" s="192">
        <f>IF(K83&lt;0.5,0,1)</f>
        <v>1</v>
      </c>
      <c r="L84" s="192">
        <f>IF(L83&lt;0.5,0,1)</f>
        <v>1</v>
      </c>
      <c r="M84" s="192">
        <f>IF(M83&lt;0.5,0,1)</f>
        <v>1</v>
      </c>
      <c r="N84" s="167" t="s">
        <v>245</v>
      </c>
      <c r="O84" s="40" t="s">
        <v>387</v>
      </c>
      <c r="P84" s="172"/>
      <c r="Q84" s="172"/>
      <c r="R84" s="172"/>
      <c r="S84" s="172"/>
      <c r="T84" s="172"/>
      <c r="U84" s="172"/>
      <c r="V84" s="172"/>
      <c r="W84" s="172"/>
      <c r="X84" s="172"/>
      <c r="Y84" s="185"/>
      <c r="Z84" s="190"/>
    </row>
    <row r="85" spans="1:26" ht="18" thickBot="1" x14ac:dyDescent="0.3">
      <c r="A85" s="186" t="s">
        <v>247</v>
      </c>
      <c r="B85" s="203">
        <f t="shared" ref="B85:J85" si="39">((B78*0.00037*(B79^2)*B80*B81)+(B82*(B83-1)*B84))</f>
        <v>76588.331854271513</v>
      </c>
      <c r="C85" s="203">
        <f t="shared" si="39"/>
        <v>37328.480370888152</v>
      </c>
      <c r="D85" s="203">
        <f t="shared" si="39"/>
        <v>138239.35172023289</v>
      </c>
      <c r="E85" s="203">
        <f t="shared" si="39"/>
        <v>135284.58414660426</v>
      </c>
      <c r="F85" s="203">
        <f t="shared" si="39"/>
        <v>1015.953696</v>
      </c>
      <c r="G85" s="203">
        <f t="shared" si="39"/>
        <v>308607.13472793729</v>
      </c>
      <c r="H85" s="203">
        <f t="shared" si="39"/>
        <v>41080.951999999997</v>
      </c>
      <c r="I85" s="203">
        <f t="shared" si="39"/>
        <v>41080.951999999997</v>
      </c>
      <c r="J85" s="203">
        <f t="shared" si="39"/>
        <v>41080.951999999997</v>
      </c>
      <c r="K85" s="203">
        <f>((K78*0.00037*(K79^2)*K80*K81)+(K82*(K83-1)*K84))</f>
        <v>218316.81491694716</v>
      </c>
      <c r="L85" s="203">
        <f>((L78*0.00037*(L79^2)*L80*L81)+(L82*(L83-1)*L84))</f>
        <v>39385.306750000011</v>
      </c>
      <c r="M85" s="203">
        <f>((M78*0.00037*(M79^2)*M80*M81)+(M82*(M83-1)*M84))</f>
        <v>661344.11519799987</v>
      </c>
      <c r="N85" s="167" t="s">
        <v>426</v>
      </c>
      <c r="O85" s="40" t="s">
        <v>387</v>
      </c>
      <c r="P85" s="172"/>
      <c r="Q85" s="172"/>
      <c r="R85" s="172"/>
      <c r="S85" s="172"/>
      <c r="T85" s="172"/>
      <c r="U85" s="172"/>
      <c r="V85" s="172"/>
      <c r="W85" s="172"/>
      <c r="X85" s="172"/>
      <c r="Y85" s="194"/>
      <c r="Z85" s="190"/>
    </row>
    <row r="86" spans="1:26" ht="15" customHeight="1" x14ac:dyDescent="0.25">
      <c r="A86" s="382" t="s">
        <v>256</v>
      </c>
      <c r="B86" s="383"/>
      <c r="C86" s="383"/>
      <c r="D86" s="383"/>
      <c r="E86" s="383"/>
      <c r="F86" s="383"/>
      <c r="G86" s="383"/>
      <c r="H86" s="383"/>
      <c r="I86" s="383"/>
      <c r="J86" s="383"/>
      <c r="K86" s="383"/>
      <c r="L86" s="383"/>
      <c r="M86" s="383"/>
      <c r="N86" s="384"/>
      <c r="O86" s="385"/>
      <c r="P86" s="385"/>
      <c r="Q86" s="386"/>
      <c r="R86" s="169"/>
      <c r="S86" s="169"/>
      <c r="T86" s="169"/>
      <c r="U86" s="169"/>
      <c r="V86" s="169"/>
      <c r="W86" s="169"/>
      <c r="X86" s="169"/>
      <c r="Y86" s="169"/>
      <c r="Z86" s="165"/>
    </row>
    <row r="87" spans="1:26" ht="45" x14ac:dyDescent="0.25">
      <c r="A87" s="200" t="s">
        <v>227</v>
      </c>
      <c r="B87" s="193" t="s">
        <v>258</v>
      </c>
      <c r="C87" s="193" t="s">
        <v>259</v>
      </c>
      <c r="D87" s="193" t="s">
        <v>260</v>
      </c>
      <c r="E87" s="193" t="s">
        <v>257</v>
      </c>
      <c r="F87" s="193" t="s">
        <v>261</v>
      </c>
      <c r="G87" s="193" t="s">
        <v>262</v>
      </c>
      <c r="H87" s="193" t="s">
        <v>263</v>
      </c>
      <c r="I87" s="193" t="s">
        <v>264</v>
      </c>
      <c r="J87" s="193" t="s">
        <v>265</v>
      </c>
      <c r="K87" s="193" t="s">
        <v>266</v>
      </c>
      <c r="L87" s="193" t="s">
        <v>267</v>
      </c>
      <c r="M87" s="193" t="s">
        <v>268</v>
      </c>
      <c r="N87" s="205" t="s">
        <v>272</v>
      </c>
      <c r="O87" s="205" t="s">
        <v>273</v>
      </c>
      <c r="P87" s="205" t="s">
        <v>274</v>
      </c>
      <c r="Q87" s="201" t="s">
        <v>92</v>
      </c>
      <c r="R87" s="165"/>
      <c r="S87" s="165"/>
      <c r="T87" s="165"/>
      <c r="U87" s="165"/>
      <c r="V87" s="165"/>
      <c r="W87" s="165"/>
      <c r="X87" s="165"/>
      <c r="Y87" s="165"/>
      <c r="Z87" s="165"/>
    </row>
    <row r="88" spans="1:26" s="135" customFormat="1" x14ac:dyDescent="0.25">
      <c r="A88" s="254"/>
      <c r="B88" s="202"/>
      <c r="C88" s="202"/>
      <c r="D88" s="202"/>
      <c r="E88" s="202"/>
      <c r="F88" s="202"/>
      <c r="G88" s="202"/>
      <c r="H88" s="202"/>
      <c r="I88" s="202"/>
      <c r="J88" s="202"/>
      <c r="K88" s="202"/>
      <c r="L88" s="202"/>
      <c r="M88" s="202"/>
      <c r="N88" s="202"/>
      <c r="O88" s="202"/>
      <c r="P88" s="202"/>
      <c r="Q88" s="257"/>
      <c r="R88" s="135" t="s">
        <v>387</v>
      </c>
    </row>
    <row r="89" spans="1:26" x14ac:dyDescent="0.25">
      <c r="A89" s="164" t="s">
        <v>424</v>
      </c>
      <c r="B89" s="206">
        <f t="shared" ref="B89:B94" si="40">SUMPRODUCT(B36:D36,$B$45:$D$45)/SUM($B$45:$D$45)</f>
        <v>229.22256361774205</v>
      </c>
      <c r="C89" s="206">
        <f t="shared" ref="C89:C94" si="41">MIN(B36:D36)</f>
        <v>38.799999999999997</v>
      </c>
      <c r="D89" s="206">
        <f t="shared" ref="D89:D94" si="42">MAX(B36:D36)</f>
        <v>730</v>
      </c>
      <c r="E89" s="208">
        <f t="shared" ref="E89:E94" si="43">SUMPRODUCT(N36:Q36,$N$45:$Q$45)/SUM($N$45:$Q$45)</f>
        <v>480.25135244345944</v>
      </c>
      <c r="F89" s="206">
        <f t="shared" ref="F89:F94" si="44">MIN(N36:Q36)</f>
        <v>2.4</v>
      </c>
      <c r="G89" s="206">
        <f t="shared" ref="G89:G94" si="45">MAX(N36:Q36)</f>
        <v>3244.625</v>
      </c>
      <c r="H89" s="206">
        <f t="shared" ref="H89:H94" si="46">SUMPRODUCT(R36:S36,$R$45:$S$45)/SUM($R$45:$S$45)</f>
        <v>1.368421052631579</v>
      </c>
      <c r="I89" s="206">
        <f t="shared" ref="I89:I94" si="47">MIN(R36:S36)</f>
        <v>1</v>
      </c>
      <c r="J89" s="206">
        <f t="shared" ref="J89:J94" si="48">MAX(R36:S36)</f>
        <v>1.3888888888888888</v>
      </c>
      <c r="K89" s="206">
        <f t="shared" ref="K89:K94" si="49">SUMPRODUCT(U36:Y36,$U$45:$Y$45)/SUM($U$45:$Y$45)</f>
        <v>16.179476527875252</v>
      </c>
      <c r="L89" s="206">
        <f t="shared" ref="L89:L94" si="50">MIN(U36:Y36)</f>
        <v>2.2360869565217389</v>
      </c>
      <c r="M89" s="206">
        <f t="shared" ref="M89:M94" si="51">MAX(U36:Y36)</f>
        <v>1152</v>
      </c>
      <c r="N89" s="206">
        <f t="shared" ref="N89:N94" si="52">SUMPRODUCT(E36:I36,$E$45:$I$45)/SUM($E$45:$I$45)</f>
        <v>2.361939133150571</v>
      </c>
      <c r="O89" s="206">
        <f t="shared" ref="O89:O94" si="53">MIN(E36:I36)</f>
        <v>1</v>
      </c>
      <c r="P89" s="206">
        <f t="shared" ref="P89:P94" si="54">MAX(E36:I36)</f>
        <v>52</v>
      </c>
      <c r="Q89" s="167" t="s">
        <v>249</v>
      </c>
      <c r="R89" s="40" t="s">
        <v>387</v>
      </c>
    </row>
    <row r="90" spans="1:26" x14ac:dyDescent="0.25">
      <c r="A90" s="161" t="s">
        <v>234</v>
      </c>
      <c r="B90" s="206">
        <f t="shared" si="40"/>
        <v>2.375</v>
      </c>
      <c r="C90" s="206">
        <f t="shared" si="41"/>
        <v>2.375</v>
      </c>
      <c r="D90" s="206">
        <f t="shared" si="42"/>
        <v>2.375</v>
      </c>
      <c r="E90" s="208">
        <f t="shared" si="43"/>
        <v>3.6215930547222261</v>
      </c>
      <c r="F90" s="206">
        <f t="shared" si="44"/>
        <v>2.375</v>
      </c>
      <c r="G90" s="206">
        <f t="shared" si="45"/>
        <v>4.1100000000000003</v>
      </c>
      <c r="H90" s="206">
        <f t="shared" si="46"/>
        <v>2.0150000000000001</v>
      </c>
      <c r="I90" s="206">
        <f t="shared" si="47"/>
        <v>1.9950000000000001</v>
      </c>
      <c r="J90" s="206">
        <f t="shared" si="48"/>
        <v>2.375</v>
      </c>
      <c r="K90" s="206">
        <f t="shared" si="49"/>
        <v>2.2951640501071937</v>
      </c>
      <c r="L90" s="206">
        <f t="shared" si="50"/>
        <v>1.92</v>
      </c>
      <c r="M90" s="206">
        <f t="shared" si="51"/>
        <v>2.375</v>
      </c>
      <c r="N90" s="206">
        <f t="shared" si="52"/>
        <v>2.375</v>
      </c>
      <c r="O90" s="206">
        <f t="shared" si="53"/>
        <v>2.375</v>
      </c>
      <c r="P90" s="206">
        <f t="shared" si="54"/>
        <v>2.375</v>
      </c>
      <c r="Q90" s="167" t="s">
        <v>235</v>
      </c>
      <c r="R90" s="40" t="s">
        <v>387</v>
      </c>
    </row>
    <row r="91" spans="1:26" x14ac:dyDescent="0.25">
      <c r="A91" s="161" t="s">
        <v>236</v>
      </c>
      <c r="B91" s="206">
        <f t="shared" si="40"/>
        <v>5092.6699755770887</v>
      </c>
      <c r="C91" s="206">
        <f t="shared" si="41"/>
        <v>2500</v>
      </c>
      <c r="D91" s="206">
        <f t="shared" si="42"/>
        <v>7000</v>
      </c>
      <c r="E91" s="208">
        <f t="shared" si="43"/>
        <v>7389.2641581054786</v>
      </c>
      <c r="F91" s="206">
        <f t="shared" si="44"/>
        <v>3911</v>
      </c>
      <c r="G91" s="206">
        <f t="shared" si="45"/>
        <v>10293</v>
      </c>
      <c r="H91" s="206">
        <f t="shared" si="46"/>
        <v>8623.6842105263149</v>
      </c>
      <c r="I91" s="206">
        <f t="shared" si="47"/>
        <v>6800</v>
      </c>
      <c r="J91" s="206">
        <f t="shared" si="48"/>
        <v>8725</v>
      </c>
      <c r="K91" s="206">
        <f t="shared" si="49"/>
        <v>10432.770917253911</v>
      </c>
      <c r="L91" s="206">
        <f t="shared" si="50"/>
        <v>7400</v>
      </c>
      <c r="M91" s="206">
        <f t="shared" si="51"/>
        <v>11164</v>
      </c>
      <c r="N91" s="206">
        <f t="shared" si="52"/>
        <v>13331.743883818579</v>
      </c>
      <c r="O91" s="206">
        <f t="shared" si="53"/>
        <v>8500</v>
      </c>
      <c r="P91" s="206">
        <f t="shared" si="54"/>
        <v>16000</v>
      </c>
      <c r="Q91" s="167" t="s">
        <v>237</v>
      </c>
      <c r="R91" s="40" t="s">
        <v>387</v>
      </c>
    </row>
    <row r="92" spans="1:26" x14ac:dyDescent="0.25">
      <c r="A92" s="161" t="s">
        <v>238</v>
      </c>
      <c r="B92" s="206">
        <f t="shared" si="40"/>
        <v>147.92089340581421</v>
      </c>
      <c r="C92" s="206">
        <f t="shared" si="41"/>
        <v>136.29999999999998</v>
      </c>
      <c r="D92" s="206">
        <f t="shared" si="42"/>
        <v>214.7</v>
      </c>
      <c r="E92" s="208">
        <f t="shared" si="43"/>
        <v>107.21504316308913</v>
      </c>
      <c r="F92" s="206">
        <f t="shared" si="44"/>
        <v>89.39</v>
      </c>
      <c r="G92" s="206">
        <f t="shared" si="45"/>
        <v>113.45</v>
      </c>
      <c r="H92" s="206">
        <f t="shared" si="46"/>
        <v>509.33157894736843</v>
      </c>
      <c r="I92" s="206">
        <f t="shared" si="47"/>
        <v>124.7</v>
      </c>
      <c r="J92" s="206">
        <f t="shared" si="48"/>
        <v>530.70000000000005</v>
      </c>
      <c r="K92" s="206">
        <f t="shared" si="49"/>
        <v>248.77892940577024</v>
      </c>
      <c r="L92" s="206">
        <f t="shared" si="50"/>
        <v>164.7</v>
      </c>
      <c r="M92" s="206">
        <f t="shared" si="51"/>
        <v>304.7</v>
      </c>
      <c r="N92" s="206">
        <f t="shared" si="52"/>
        <v>483.80929312558561</v>
      </c>
      <c r="O92" s="206">
        <f t="shared" si="53"/>
        <v>29.7</v>
      </c>
      <c r="P92" s="206">
        <f t="shared" si="54"/>
        <v>554.70000000000005</v>
      </c>
      <c r="Q92" s="167" t="s">
        <v>239</v>
      </c>
      <c r="R92" s="40" t="s">
        <v>387</v>
      </c>
    </row>
    <row r="93" spans="1:26" ht="17.25" x14ac:dyDescent="0.25">
      <c r="A93" s="161" t="s">
        <v>240</v>
      </c>
      <c r="B93" s="206">
        <f t="shared" si="40"/>
        <v>7232.6708947188754</v>
      </c>
      <c r="C93" s="206">
        <f t="shared" si="41"/>
        <v>625</v>
      </c>
      <c r="D93" s="206">
        <f t="shared" si="42"/>
        <v>26166.666666666668</v>
      </c>
      <c r="E93" s="208">
        <f t="shared" si="43"/>
        <v>29645.64685450264</v>
      </c>
      <c r="F93" s="206">
        <f t="shared" si="44"/>
        <v>10416.666666666666</v>
      </c>
      <c r="G93" s="206">
        <f t="shared" si="45"/>
        <v>36458.333333333336</v>
      </c>
      <c r="H93" s="206">
        <f t="shared" si="46"/>
        <v>59265.350877192985</v>
      </c>
      <c r="I93" s="206">
        <f t="shared" si="47"/>
        <v>1041.6666666666667</v>
      </c>
      <c r="J93" s="206">
        <f t="shared" si="48"/>
        <v>62500</v>
      </c>
      <c r="K93" s="206">
        <f t="shared" si="49"/>
        <v>13225.032526734412</v>
      </c>
      <c r="L93" s="206">
        <f t="shared" si="50"/>
        <v>1916.6666666666667</v>
      </c>
      <c r="M93" s="206">
        <f t="shared" si="51"/>
        <v>18916.666666666668</v>
      </c>
      <c r="N93" s="206">
        <f t="shared" si="52"/>
        <v>257910.4781899573</v>
      </c>
      <c r="O93" s="206">
        <f t="shared" si="53"/>
        <v>3458.3333333333335</v>
      </c>
      <c r="P93" s="206">
        <f t="shared" si="54"/>
        <v>354166.66666666669</v>
      </c>
      <c r="Q93" s="167" t="s">
        <v>241</v>
      </c>
      <c r="R93" s="40" t="s">
        <v>387</v>
      </c>
    </row>
    <row r="94" spans="1:26" x14ac:dyDescent="0.25">
      <c r="A94" s="161" t="s">
        <v>242</v>
      </c>
      <c r="B94" s="206">
        <f t="shared" si="40"/>
        <v>0.17025273772945718</v>
      </c>
      <c r="C94" s="206">
        <f t="shared" si="41"/>
        <v>0.05</v>
      </c>
      <c r="D94" s="206">
        <f t="shared" si="42"/>
        <v>0.221</v>
      </c>
      <c r="E94" s="208">
        <f t="shared" si="43"/>
        <v>1.973027997844907</v>
      </c>
      <c r="F94" s="206">
        <f t="shared" si="44"/>
        <v>8.3299999999999999E-2</v>
      </c>
      <c r="G94" s="206">
        <f t="shared" si="45"/>
        <v>2.99</v>
      </c>
      <c r="H94" s="206">
        <f t="shared" si="46"/>
        <v>0.48421052631578948</v>
      </c>
      <c r="I94" s="206">
        <f t="shared" si="47"/>
        <v>0.2</v>
      </c>
      <c r="J94" s="206">
        <f t="shared" si="48"/>
        <v>0.5</v>
      </c>
      <c r="K94" s="206">
        <f t="shared" si="49"/>
        <v>1.5323111510618455</v>
      </c>
      <c r="L94" s="206">
        <f t="shared" si="50"/>
        <v>0.40699999999999997</v>
      </c>
      <c r="M94" s="206">
        <f t="shared" si="51"/>
        <v>2.1</v>
      </c>
      <c r="N94" s="206">
        <f t="shared" si="52"/>
        <v>0.67222212582850394</v>
      </c>
      <c r="O94" s="206">
        <f t="shared" si="53"/>
        <v>0.3</v>
      </c>
      <c r="P94" s="206">
        <f t="shared" si="54"/>
        <v>2</v>
      </c>
      <c r="Q94" s="167" t="s">
        <v>243</v>
      </c>
      <c r="R94" s="40" t="s">
        <v>387</v>
      </c>
    </row>
    <row r="95" spans="1:26" x14ac:dyDescent="0.25">
      <c r="A95" s="161" t="s">
        <v>244</v>
      </c>
      <c r="B95" s="191">
        <f t="shared" ref="B95:P95" si="55">IF(B94&lt;0.5,0,1)</f>
        <v>0</v>
      </c>
      <c r="C95" s="191">
        <f t="shared" si="55"/>
        <v>0</v>
      </c>
      <c r="D95" s="191">
        <f t="shared" si="55"/>
        <v>0</v>
      </c>
      <c r="E95" s="191">
        <f t="shared" si="55"/>
        <v>1</v>
      </c>
      <c r="F95" s="191">
        <f t="shared" si="55"/>
        <v>0</v>
      </c>
      <c r="G95" s="191">
        <f t="shared" si="55"/>
        <v>1</v>
      </c>
      <c r="H95" s="191">
        <f t="shared" si="55"/>
        <v>0</v>
      </c>
      <c r="I95" s="191">
        <f t="shared" si="55"/>
        <v>0</v>
      </c>
      <c r="J95" s="191">
        <f t="shared" si="55"/>
        <v>1</v>
      </c>
      <c r="K95" s="191">
        <f t="shared" si="55"/>
        <v>1</v>
      </c>
      <c r="L95" s="191">
        <f t="shared" si="55"/>
        <v>0</v>
      </c>
      <c r="M95" s="191">
        <f t="shared" si="55"/>
        <v>1</v>
      </c>
      <c r="N95" s="191">
        <f t="shared" si="55"/>
        <v>1</v>
      </c>
      <c r="O95" s="191">
        <f t="shared" si="55"/>
        <v>0</v>
      </c>
      <c r="P95" s="191">
        <f t="shared" si="55"/>
        <v>1</v>
      </c>
      <c r="Q95" s="167" t="s">
        <v>245</v>
      </c>
      <c r="R95" s="40" t="s">
        <v>387</v>
      </c>
    </row>
    <row r="96" spans="1:26" ht="18" thickBot="1" x14ac:dyDescent="0.3">
      <c r="A96" s="186" t="s">
        <v>247</v>
      </c>
      <c r="B96" s="204">
        <f t="shared" ref="B96:P96" si="56">((B89*0.00037*(B90^2)*B91*B92)+(B93*(B94-1)*B95))</f>
        <v>360380.57318107598</v>
      </c>
      <c r="C96" s="204">
        <f t="shared" si="56"/>
        <v>27592.848859374993</v>
      </c>
      <c r="D96" s="204">
        <f t="shared" si="56"/>
        <v>2289717.46390625</v>
      </c>
      <c r="E96" s="204">
        <f t="shared" si="56"/>
        <v>1875249.2056018389</v>
      </c>
      <c r="F96" s="204">
        <f t="shared" si="56"/>
        <v>1751.1241880737498</v>
      </c>
      <c r="G96" s="204">
        <f t="shared" si="56"/>
        <v>23753351.048627615</v>
      </c>
      <c r="H96" s="204">
        <f t="shared" si="56"/>
        <v>9029.5274043195859</v>
      </c>
      <c r="I96" s="204">
        <f t="shared" si="56"/>
        <v>1248.7137396300002</v>
      </c>
      <c r="J96" s="204">
        <f t="shared" si="56"/>
        <v>-17828.19333170573</v>
      </c>
      <c r="K96" s="204">
        <f t="shared" si="56"/>
        <v>88887.615575682634</v>
      </c>
      <c r="L96" s="204">
        <f t="shared" si="56"/>
        <v>3717.2193454881385</v>
      </c>
      <c r="M96" s="204">
        <f t="shared" si="56"/>
        <v>8199309.3709413316</v>
      </c>
      <c r="N96" s="204">
        <f t="shared" si="56"/>
        <v>-52742.348827273585</v>
      </c>
      <c r="O96" s="204">
        <f t="shared" si="56"/>
        <v>526.87103906250002</v>
      </c>
      <c r="P96" s="204">
        <f t="shared" si="56"/>
        <v>1317353.2936666668</v>
      </c>
      <c r="Q96" s="167" t="s">
        <v>426</v>
      </c>
      <c r="R96" s="40" t="s">
        <v>387</v>
      </c>
    </row>
    <row r="97" spans="1:18" ht="15" customHeight="1" x14ac:dyDescent="0.25">
      <c r="A97" s="387" t="s">
        <v>269</v>
      </c>
      <c r="B97" s="388"/>
      <c r="C97" s="388"/>
      <c r="D97" s="388"/>
      <c r="E97" s="388"/>
      <c r="F97" s="388"/>
      <c r="G97" s="388"/>
      <c r="H97" s="388"/>
      <c r="I97" s="388"/>
      <c r="J97" s="388"/>
      <c r="K97" s="388"/>
      <c r="L97" s="388"/>
      <c r="M97" s="388"/>
      <c r="N97" s="385"/>
      <c r="O97" s="385"/>
      <c r="P97" s="385"/>
      <c r="Q97" s="386"/>
    </row>
    <row r="98" spans="1:18" ht="45" x14ac:dyDescent="0.25">
      <c r="A98" s="200" t="s">
        <v>227</v>
      </c>
      <c r="B98" s="193" t="s">
        <v>258</v>
      </c>
      <c r="C98" s="193" t="s">
        <v>259</v>
      </c>
      <c r="D98" s="193" t="s">
        <v>260</v>
      </c>
      <c r="E98" s="193" t="s">
        <v>257</v>
      </c>
      <c r="F98" s="193" t="s">
        <v>261</v>
      </c>
      <c r="G98" s="193" t="s">
        <v>262</v>
      </c>
      <c r="H98" s="193" t="s">
        <v>263</v>
      </c>
      <c r="I98" s="193" t="s">
        <v>264</v>
      </c>
      <c r="J98" s="193" t="s">
        <v>265</v>
      </c>
      <c r="K98" s="193" t="s">
        <v>266</v>
      </c>
      <c r="L98" s="193" t="s">
        <v>267</v>
      </c>
      <c r="M98" s="193" t="s">
        <v>268</v>
      </c>
      <c r="N98" s="205" t="s">
        <v>272</v>
      </c>
      <c r="O98" s="205" t="s">
        <v>273</v>
      </c>
      <c r="P98" s="205" t="s">
        <v>274</v>
      </c>
      <c r="Q98" s="201" t="s">
        <v>92</v>
      </c>
    </row>
    <row r="99" spans="1:18" s="135" customFormat="1" x14ac:dyDescent="0.25">
      <c r="A99" s="254"/>
      <c r="B99" s="255"/>
      <c r="C99" s="255"/>
      <c r="D99" s="255"/>
      <c r="E99" s="255"/>
      <c r="F99" s="255"/>
      <c r="G99" s="255"/>
      <c r="H99" s="255"/>
      <c r="I99" s="255"/>
      <c r="J99" s="255"/>
      <c r="K99" s="255"/>
      <c r="L99" s="255"/>
      <c r="M99" s="255"/>
      <c r="N99" s="202"/>
      <c r="O99" s="202"/>
      <c r="P99" s="202"/>
      <c r="Q99" s="257"/>
      <c r="R99" s="135" t="s">
        <v>387</v>
      </c>
    </row>
    <row r="100" spans="1:18" x14ac:dyDescent="0.25">
      <c r="A100" s="164" t="s">
        <v>424</v>
      </c>
      <c r="B100" s="207">
        <f t="shared" ref="B100:D105" si="57">$B50</f>
        <v>82.255192878338278</v>
      </c>
      <c r="C100" s="207">
        <f t="shared" si="57"/>
        <v>82.255192878338278</v>
      </c>
      <c r="D100" s="207">
        <f t="shared" si="57"/>
        <v>82.255192878338278</v>
      </c>
      <c r="E100" s="208">
        <f t="shared" ref="E100:E105" si="58">SUMPRODUCT(N50:Q50,$N$59:$Q$59)/SUM($N$59:$Q$59)</f>
        <v>3.7743038875306931</v>
      </c>
      <c r="F100" s="206">
        <f t="shared" ref="F100:F105" si="59">MIN(N50:Q50)</f>
        <v>2.2598870056497176</v>
      </c>
      <c r="G100" s="206">
        <f t="shared" ref="G100:G105" si="60">MAX(N50:Q50)</f>
        <v>12</v>
      </c>
      <c r="H100" s="207">
        <f t="shared" ref="H100:H105" si="61">SUMPRODUCT(R50:T50,$R$59:$T$59)/SUM($R$59:$T$59)</f>
        <v>0.96846917862210313</v>
      </c>
      <c r="I100" s="207">
        <f t="shared" ref="I100:I105" si="62">MIN(R50:T50)</f>
        <v>0.33333333333333331</v>
      </c>
      <c r="J100" s="207">
        <f t="shared" ref="J100:J105" si="63">MAX(R50:T50)</f>
        <v>1</v>
      </c>
      <c r="K100" s="207">
        <f t="shared" ref="K100:K105" si="64">SUMPRODUCT(U50:X50,$U$59:$X$59)/SUM($U$59:$X$59)</f>
        <v>68.14493455858738</v>
      </c>
      <c r="L100" s="207">
        <f t="shared" ref="L100:L105" si="65">MIN(U50:X50)</f>
        <v>2</v>
      </c>
      <c r="M100" s="207">
        <f t="shared" ref="M100:M105" si="66">MAX(U50:X50)</f>
        <v>378</v>
      </c>
      <c r="N100" s="206">
        <f t="shared" ref="N100:N105" si="67">SUMPRODUCT(E50:M50,$E$59:$M$59)/SUM($E$59:$M$59)</f>
        <v>1.5644175193006993</v>
      </c>
      <c r="O100" s="206">
        <f t="shared" ref="O100:O105" si="68">MIN(E50:M50)</f>
        <v>0.6</v>
      </c>
      <c r="P100" s="206">
        <f t="shared" ref="P100:P105" si="69">MAX(E50:M50)</f>
        <v>52</v>
      </c>
      <c r="Q100" s="167" t="s">
        <v>249</v>
      </c>
      <c r="R100" s="40" t="s">
        <v>387</v>
      </c>
    </row>
    <row r="101" spans="1:18" x14ac:dyDescent="0.25">
      <c r="A101" s="164" t="s">
        <v>250</v>
      </c>
      <c r="B101" s="207">
        <f t="shared" si="57"/>
        <v>4.5</v>
      </c>
      <c r="C101" s="207">
        <f t="shared" si="57"/>
        <v>4.5</v>
      </c>
      <c r="D101" s="207">
        <f t="shared" si="57"/>
        <v>4.5</v>
      </c>
      <c r="E101" s="208">
        <f t="shared" si="58"/>
        <v>5.187665609235494</v>
      </c>
      <c r="F101" s="206">
        <f t="shared" si="59"/>
        <v>4.92</v>
      </c>
      <c r="G101" s="206">
        <f t="shared" si="60"/>
        <v>5.5</v>
      </c>
      <c r="H101" s="207">
        <f t="shared" si="61"/>
        <v>9.6180566503757419</v>
      </c>
      <c r="I101" s="207">
        <f t="shared" si="62"/>
        <v>5</v>
      </c>
      <c r="J101" s="207">
        <f t="shared" si="63"/>
        <v>9.625</v>
      </c>
      <c r="K101" s="207">
        <f t="shared" si="64"/>
        <v>4.1113335342870183</v>
      </c>
      <c r="L101" s="207">
        <f t="shared" si="65"/>
        <v>2.375</v>
      </c>
      <c r="M101" s="207">
        <f t="shared" si="66"/>
        <v>4.7</v>
      </c>
      <c r="N101" s="206">
        <f t="shared" si="67"/>
        <v>9.0417744304146606</v>
      </c>
      <c r="O101" s="206">
        <f t="shared" si="68"/>
        <v>4.5</v>
      </c>
      <c r="P101" s="206">
        <f t="shared" si="69"/>
        <v>10.75</v>
      </c>
      <c r="Q101" s="167" t="s">
        <v>235</v>
      </c>
      <c r="R101" s="40" t="s">
        <v>387</v>
      </c>
    </row>
    <row r="102" spans="1:18" x14ac:dyDescent="0.25">
      <c r="A102" s="164" t="s">
        <v>236</v>
      </c>
      <c r="B102" s="207">
        <f t="shared" si="57"/>
        <v>4845</v>
      </c>
      <c r="C102" s="207">
        <f t="shared" si="57"/>
        <v>4845</v>
      </c>
      <c r="D102" s="207">
        <f t="shared" si="57"/>
        <v>4845</v>
      </c>
      <c r="E102" s="208">
        <f t="shared" si="58"/>
        <v>7332.5600515698306</v>
      </c>
      <c r="F102" s="206">
        <f t="shared" si="59"/>
        <v>3911</v>
      </c>
      <c r="G102" s="206">
        <f t="shared" si="60"/>
        <v>11000</v>
      </c>
      <c r="H102" s="207">
        <f t="shared" si="61"/>
        <v>8733.091597036102</v>
      </c>
      <c r="I102" s="207">
        <f t="shared" si="62"/>
        <v>8000</v>
      </c>
      <c r="J102" s="207">
        <f t="shared" si="63"/>
        <v>15000</v>
      </c>
      <c r="K102" s="207">
        <f t="shared" si="64"/>
        <v>11109.768484452381</v>
      </c>
      <c r="L102" s="207">
        <f t="shared" si="65"/>
        <v>10844</v>
      </c>
      <c r="M102" s="207">
        <f t="shared" si="66"/>
        <v>11597</v>
      </c>
      <c r="N102" s="206">
        <f t="shared" si="67"/>
        <v>13395.452114185622</v>
      </c>
      <c r="O102" s="206">
        <f t="shared" si="68"/>
        <v>6000</v>
      </c>
      <c r="P102" s="206">
        <f t="shared" si="69"/>
        <v>16000</v>
      </c>
      <c r="Q102" s="167" t="s">
        <v>237</v>
      </c>
      <c r="R102" s="40" t="s">
        <v>387</v>
      </c>
    </row>
    <row r="103" spans="1:18" x14ac:dyDescent="0.25">
      <c r="A103" s="164" t="s">
        <v>238</v>
      </c>
      <c r="B103" s="207">
        <f t="shared" si="57"/>
        <v>136.29999999999998</v>
      </c>
      <c r="C103" s="207">
        <f t="shared" si="57"/>
        <v>136.29999999999998</v>
      </c>
      <c r="D103" s="207">
        <f t="shared" si="57"/>
        <v>136.29999999999998</v>
      </c>
      <c r="E103" s="208">
        <f t="shared" si="58"/>
        <v>120.55524733725278</v>
      </c>
      <c r="F103" s="206">
        <f t="shared" si="59"/>
        <v>94.7</v>
      </c>
      <c r="G103" s="206">
        <f t="shared" si="60"/>
        <v>214.7</v>
      </c>
      <c r="H103" s="207">
        <f t="shared" si="61"/>
        <v>530.18688843344376</v>
      </c>
      <c r="I103" s="207">
        <f t="shared" si="62"/>
        <v>64.7</v>
      </c>
      <c r="J103" s="207">
        <f t="shared" si="63"/>
        <v>530.70000000000005</v>
      </c>
      <c r="K103" s="207">
        <f t="shared" si="64"/>
        <v>260.53587530354338</v>
      </c>
      <c r="L103" s="207">
        <f t="shared" si="65"/>
        <v>212.7</v>
      </c>
      <c r="M103" s="207">
        <f t="shared" si="66"/>
        <v>490.7</v>
      </c>
      <c r="N103" s="206">
        <f t="shared" si="67"/>
        <v>521.41173187331094</v>
      </c>
      <c r="O103" s="206">
        <f t="shared" si="68"/>
        <v>29.7</v>
      </c>
      <c r="P103" s="206">
        <f t="shared" si="69"/>
        <v>554.70000000000005</v>
      </c>
      <c r="Q103" s="167" t="s">
        <v>239</v>
      </c>
      <c r="R103" s="40" t="s">
        <v>387</v>
      </c>
    </row>
    <row r="104" spans="1:18" ht="17.25" x14ac:dyDescent="0.25">
      <c r="A104" s="164" t="s">
        <v>240</v>
      </c>
      <c r="B104" s="207">
        <f t="shared" si="57"/>
        <v>1083.3333333333333</v>
      </c>
      <c r="C104" s="207">
        <f t="shared" si="57"/>
        <v>1083.3333333333333</v>
      </c>
      <c r="D104" s="207">
        <f t="shared" si="57"/>
        <v>1083.3333333333333</v>
      </c>
      <c r="E104" s="208">
        <f t="shared" si="58"/>
        <v>26507.794988525184</v>
      </c>
      <c r="F104" s="206">
        <f t="shared" si="59"/>
        <v>4166.666666666667</v>
      </c>
      <c r="G104" s="206">
        <f t="shared" si="60"/>
        <v>36458.333333333336</v>
      </c>
      <c r="H104" s="207">
        <f t="shared" si="61"/>
        <v>62413.066897892691</v>
      </c>
      <c r="I104" s="207">
        <f t="shared" si="62"/>
        <v>500</v>
      </c>
      <c r="J104" s="207">
        <f t="shared" si="63"/>
        <v>62500</v>
      </c>
      <c r="K104" s="207">
        <f t="shared" si="64"/>
        <v>5632.0436097667252</v>
      </c>
      <c r="L104" s="207">
        <f t="shared" si="65"/>
        <v>1730.8333333333333</v>
      </c>
      <c r="M104" s="207">
        <f t="shared" si="66"/>
        <v>18041.666666666668</v>
      </c>
      <c r="N104" s="206">
        <f t="shared" si="67"/>
        <v>279991.72618370765</v>
      </c>
      <c r="O104" s="206">
        <f t="shared" si="68"/>
        <v>1041.6666666666667</v>
      </c>
      <c r="P104" s="206">
        <f t="shared" si="69"/>
        <v>354166.66666666669</v>
      </c>
      <c r="Q104" s="167" t="s">
        <v>241</v>
      </c>
      <c r="R104" s="40" t="s">
        <v>387</v>
      </c>
    </row>
    <row r="105" spans="1:18" x14ac:dyDescent="0.25">
      <c r="A105" s="164" t="s">
        <v>242</v>
      </c>
      <c r="B105" s="207">
        <f t="shared" si="57"/>
        <v>1.36</v>
      </c>
      <c r="C105" s="207">
        <f t="shared" si="57"/>
        <v>1.36</v>
      </c>
      <c r="D105" s="207">
        <f t="shared" si="57"/>
        <v>1.36</v>
      </c>
      <c r="E105" s="208">
        <f t="shared" si="58"/>
        <v>1.8931904285538514</v>
      </c>
      <c r="F105" s="206">
        <f t="shared" si="59"/>
        <v>0.5</v>
      </c>
      <c r="G105" s="206">
        <f t="shared" si="60"/>
        <v>2.5</v>
      </c>
      <c r="H105" s="207">
        <f t="shared" si="61"/>
        <v>1.0073440538126017</v>
      </c>
      <c r="I105" s="207">
        <f t="shared" si="62"/>
        <v>0.5</v>
      </c>
      <c r="J105" s="207">
        <f t="shared" si="63"/>
        <v>6.67</v>
      </c>
      <c r="K105" s="207">
        <f t="shared" si="64"/>
        <v>1.7686346042245349</v>
      </c>
      <c r="L105" s="207">
        <f t="shared" si="65"/>
        <v>0.75</v>
      </c>
      <c r="M105" s="207">
        <f t="shared" si="66"/>
        <v>3.18</v>
      </c>
      <c r="N105" s="206">
        <f t="shared" si="67"/>
        <v>1.3579469161221018</v>
      </c>
      <c r="O105" s="206">
        <f t="shared" si="68"/>
        <v>0.6875</v>
      </c>
      <c r="P105" s="206">
        <f t="shared" si="69"/>
        <v>5.3</v>
      </c>
      <c r="Q105" s="167" t="s">
        <v>243</v>
      </c>
      <c r="R105" s="40" t="s">
        <v>387</v>
      </c>
    </row>
    <row r="106" spans="1:18" x14ac:dyDescent="0.25">
      <c r="A106" s="164" t="s">
        <v>244</v>
      </c>
      <c r="B106" s="191">
        <f t="shared" ref="B106:M106" si="70">IF(B105&lt;0.5,0,1)</f>
        <v>1</v>
      </c>
      <c r="C106" s="191">
        <f t="shared" si="70"/>
        <v>1</v>
      </c>
      <c r="D106" s="191">
        <f t="shared" si="70"/>
        <v>1</v>
      </c>
      <c r="E106" s="191">
        <f t="shared" si="70"/>
        <v>1</v>
      </c>
      <c r="F106" s="191">
        <f t="shared" si="70"/>
        <v>1</v>
      </c>
      <c r="G106" s="191">
        <f t="shared" si="70"/>
        <v>1</v>
      </c>
      <c r="H106" s="191">
        <f t="shared" si="70"/>
        <v>1</v>
      </c>
      <c r="I106" s="191">
        <f t="shared" si="70"/>
        <v>1</v>
      </c>
      <c r="J106" s="191">
        <f t="shared" si="70"/>
        <v>1</v>
      </c>
      <c r="K106" s="191">
        <f t="shared" si="70"/>
        <v>1</v>
      </c>
      <c r="L106" s="191">
        <f t="shared" si="70"/>
        <v>1</v>
      </c>
      <c r="M106" s="191">
        <f t="shared" si="70"/>
        <v>1</v>
      </c>
      <c r="N106" s="191">
        <f>IF(N105&lt;0.5,0,1)</f>
        <v>1</v>
      </c>
      <c r="O106" s="191">
        <f>IF(O105&lt;0.5,0,1)</f>
        <v>1</v>
      </c>
      <c r="P106" s="191">
        <f>IF(P105&lt;0.5,0,1)</f>
        <v>1</v>
      </c>
      <c r="Q106" s="167" t="s">
        <v>245</v>
      </c>
      <c r="R106" s="40" t="s">
        <v>387</v>
      </c>
    </row>
    <row r="107" spans="1:18" ht="18" thickBot="1" x14ac:dyDescent="0.3">
      <c r="A107" s="186" t="s">
        <v>247</v>
      </c>
      <c r="B107" s="204">
        <f t="shared" ref="B107:M107" si="71">((B100*0.00037*(B101^2)*B102*B103)+(B104*(B105-1)*B106))</f>
        <v>407376.22848471807</v>
      </c>
      <c r="C107" s="204">
        <f t="shared" si="71"/>
        <v>407376.22848471807</v>
      </c>
      <c r="D107" s="204">
        <f t="shared" si="71"/>
        <v>407376.22848471807</v>
      </c>
      <c r="E107" s="204">
        <f t="shared" si="71"/>
        <v>56898.394770997984</v>
      </c>
      <c r="F107" s="204">
        <f t="shared" si="71"/>
        <v>5413.1304903629371</v>
      </c>
      <c r="G107" s="204">
        <f t="shared" si="71"/>
        <v>371887.42699999997</v>
      </c>
      <c r="H107" s="204">
        <f t="shared" si="71"/>
        <v>153940.9792670655</v>
      </c>
      <c r="I107" s="204">
        <f t="shared" si="71"/>
        <v>1345.9333333333332</v>
      </c>
      <c r="J107" s="204">
        <f t="shared" si="71"/>
        <v>627237.30726562499</v>
      </c>
      <c r="K107" s="204">
        <f t="shared" si="71"/>
        <v>1237925.8746160346</v>
      </c>
      <c r="L107" s="204">
        <f t="shared" si="71"/>
        <v>9194.845295291665</v>
      </c>
      <c r="M107" s="204">
        <f t="shared" si="71"/>
        <v>17620629.63117779</v>
      </c>
      <c r="N107" s="204">
        <f>((N100*0.00037*(N101^2)*N102*N103)+(N104*(N105-1)*N106))</f>
        <v>430743.82047324104</v>
      </c>
      <c r="O107" s="204">
        <f>((O100*0.00037*(O101^2)*O102*O103)+(O104*(O105-1)*O106))</f>
        <v>475.57726666666645</v>
      </c>
      <c r="P107" s="204">
        <f>((P100*0.00037*(P101^2)*P102*P103)+(P104*(P105-1)*P106))</f>
        <v>21256236.038666666</v>
      </c>
      <c r="Q107" s="167" t="s">
        <v>426</v>
      </c>
      <c r="R107" s="40" t="s">
        <v>387</v>
      </c>
    </row>
    <row r="110" spans="1:18" ht="18.75" x14ac:dyDescent="0.3">
      <c r="A110" s="224"/>
      <c r="B110" s="165"/>
      <c r="C110" s="165"/>
    </row>
    <row r="111" spans="1:18" x14ac:dyDescent="0.25">
      <c r="A111" s="190"/>
      <c r="B111" s="198"/>
      <c r="C111" s="190"/>
    </row>
    <row r="112" spans="1:18" x14ac:dyDescent="0.25">
      <c r="A112" s="165"/>
      <c r="B112" s="165"/>
      <c r="C112" s="199"/>
    </row>
    <row r="113" spans="1:3" x14ac:dyDescent="0.25">
      <c r="A113" s="165"/>
      <c r="B113" s="165"/>
      <c r="C113" s="199"/>
    </row>
    <row r="114" spans="1:3" x14ac:dyDescent="0.25">
      <c r="A114" s="165"/>
      <c r="B114" s="165"/>
      <c r="C114" s="199"/>
    </row>
    <row r="115" spans="1:3" x14ac:dyDescent="0.25">
      <c r="A115" s="165"/>
      <c r="B115" s="165"/>
      <c r="C115" s="199"/>
    </row>
    <row r="116" spans="1:3" x14ac:dyDescent="0.25">
      <c r="A116" s="165"/>
      <c r="B116" s="165"/>
      <c r="C116" s="199"/>
    </row>
    <row r="117" spans="1:3" x14ac:dyDescent="0.25">
      <c r="A117" s="165"/>
      <c r="B117" s="165"/>
      <c r="C117" s="199"/>
    </row>
    <row r="118" spans="1:3" x14ac:dyDescent="0.25">
      <c r="A118" s="165"/>
      <c r="B118" s="165"/>
      <c r="C118" s="199"/>
    </row>
    <row r="119" spans="1:3" x14ac:dyDescent="0.25">
      <c r="A119" s="165"/>
      <c r="B119" s="165"/>
      <c r="C119" s="199"/>
    </row>
    <row r="120" spans="1:3" x14ac:dyDescent="0.25">
      <c r="A120" s="165"/>
      <c r="B120" s="165"/>
      <c r="C120" s="199"/>
    </row>
    <row r="121" spans="1:3" x14ac:dyDescent="0.25">
      <c r="A121" s="165"/>
      <c r="B121" s="165"/>
      <c r="C121" s="199"/>
    </row>
    <row r="122" spans="1:3" x14ac:dyDescent="0.25">
      <c r="A122" s="165"/>
      <c r="B122" s="165"/>
      <c r="C122" s="199"/>
    </row>
    <row r="123" spans="1:3" x14ac:dyDescent="0.25">
      <c r="A123" s="165"/>
      <c r="B123" s="165"/>
      <c r="C123" s="199"/>
    </row>
    <row r="124" spans="1:3" x14ac:dyDescent="0.25">
      <c r="A124" s="165"/>
      <c r="B124" s="165"/>
      <c r="C124" s="199"/>
    </row>
    <row r="125" spans="1:3" x14ac:dyDescent="0.25">
      <c r="A125" s="166"/>
      <c r="B125" s="165"/>
      <c r="C125" s="199"/>
    </row>
    <row r="126" spans="1:3" x14ac:dyDescent="0.25">
      <c r="A126" s="165"/>
      <c r="B126" s="165"/>
      <c r="C126" s="199"/>
    </row>
    <row r="127" spans="1:3" x14ac:dyDescent="0.25">
      <c r="A127" s="165"/>
      <c r="B127" s="165"/>
      <c r="C127" s="165"/>
    </row>
    <row r="128" spans="1:3" x14ac:dyDescent="0.25">
      <c r="A128" s="165"/>
      <c r="B128" s="165"/>
      <c r="C128" s="165"/>
    </row>
    <row r="129" spans="1:3" ht="18.75" x14ac:dyDescent="0.3">
      <c r="A129" s="189"/>
      <c r="B129" s="165"/>
      <c r="C129" s="165"/>
    </row>
    <row r="130" spans="1:3" x14ac:dyDescent="0.25">
      <c r="A130" s="165"/>
      <c r="B130" s="165"/>
      <c r="C130" s="165"/>
    </row>
    <row r="131" spans="1:3" x14ac:dyDescent="0.25">
      <c r="A131" s="165"/>
      <c r="B131" s="165"/>
      <c r="C131" s="165"/>
    </row>
    <row r="132" spans="1:3" x14ac:dyDescent="0.25">
      <c r="A132" s="165"/>
      <c r="B132" s="165"/>
      <c r="C132" s="165"/>
    </row>
    <row r="133" spans="1:3" x14ac:dyDescent="0.25">
      <c r="A133" s="165"/>
      <c r="B133" s="165"/>
      <c r="C133" s="165"/>
    </row>
    <row r="134" spans="1:3" x14ac:dyDescent="0.25">
      <c r="A134" s="165"/>
      <c r="B134" s="165"/>
      <c r="C134" s="165"/>
    </row>
    <row r="135" spans="1:3" x14ac:dyDescent="0.25">
      <c r="A135" s="165"/>
      <c r="B135" s="165"/>
      <c r="C135" s="165"/>
    </row>
    <row r="136" spans="1:3" ht="18.75" x14ac:dyDescent="0.3">
      <c r="A136" s="189"/>
      <c r="B136" s="165"/>
      <c r="C136" s="165"/>
    </row>
    <row r="137" spans="1:3" ht="18.75" x14ac:dyDescent="0.3">
      <c r="A137" s="189"/>
      <c r="B137" s="165"/>
      <c r="C137" s="165"/>
    </row>
    <row r="138" spans="1:3" ht="18.75" x14ac:dyDescent="0.3">
      <c r="A138" s="189"/>
      <c r="B138" s="165"/>
      <c r="C138" s="165"/>
    </row>
    <row r="139" spans="1:3" ht="18.75" x14ac:dyDescent="0.3">
      <c r="A139" s="189"/>
      <c r="B139" s="165"/>
      <c r="C139" s="165"/>
    </row>
  </sheetData>
  <mergeCells count="25">
    <mergeCell ref="R78:T78"/>
    <mergeCell ref="U78:Y78"/>
    <mergeCell ref="R83:T83"/>
    <mergeCell ref="U83:Y83"/>
    <mergeCell ref="A1:K1"/>
    <mergeCell ref="B4:C4"/>
    <mergeCell ref="D4:E4"/>
    <mergeCell ref="F4:H4"/>
    <mergeCell ref="B18:C18"/>
    <mergeCell ref="D18:E18"/>
    <mergeCell ref="F18:H18"/>
    <mergeCell ref="R33:T33"/>
    <mergeCell ref="U33:Y33"/>
    <mergeCell ref="B47:D47"/>
    <mergeCell ref="E47:M47"/>
    <mergeCell ref="N47:Q47"/>
    <mergeCell ref="R47:T47"/>
    <mergeCell ref="U47:Y47"/>
    <mergeCell ref="A63:H63"/>
    <mergeCell ref="A86:Q86"/>
    <mergeCell ref="A97:Q97"/>
    <mergeCell ref="A75:N75"/>
    <mergeCell ref="B33:D33"/>
    <mergeCell ref="E33:M33"/>
    <mergeCell ref="N33:Q33"/>
  </mergeCells>
  <pageMargins left="0.7" right="0.7" top="0.75" bottom="0.75" header="0.3" footer="0.3"/>
  <pageSetup orientation="portrait" r:id="rId1"/>
  <ignoredErrors>
    <ignoredError sqref="C92:D92 C94:D94 C93:D93 L93:M93 F105:G105 I105:J105 L105:M105 O105:P105 L83:M83 C83:D83 C79:D79 C80:D80 C81:D81 C82:D82 F79:G79 F80:G80 F81:G81 F82:G82 F83:G83 L79:M79 L80:M80 L81:M81 L82:M82 C90:D90 C91:D91 F90:G90 F91:G91 F92:G92 F93:G93 F94:G94 I90:J90 I91:J91 I92:J92 I93 I94:J94 L90:M90 L91:M91 L92:M92 L94:M94 O90:P90 O91:P91 O92:P92 O93:P93 O94:P94 F101:G101 F102:G102 F103:G103 F104:G104 I101:J101 I102:J102 I103:J103 I104:J104 L101:M101 L102:M102 L103:M103 L104:M104 O101:P101 O102:P102 O103:P103 O104:P104" formulaRange="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7"/>
  <sheetViews>
    <sheetView workbookViewId="0">
      <selection activeCell="H49" sqref="H49"/>
    </sheetView>
  </sheetViews>
  <sheetFormatPr defaultRowHeight="12.75" x14ac:dyDescent="0.2"/>
  <cols>
    <col min="1" max="2" width="9.140625" style="93"/>
    <col min="3" max="3" width="19" style="93" customWidth="1"/>
    <col min="4" max="4" width="13.28515625" style="93" bestFit="1" customWidth="1"/>
    <col min="5" max="5" width="16.28515625" style="93" bestFit="1" customWidth="1"/>
    <col min="6" max="6" width="23.42578125" style="93" customWidth="1"/>
    <col min="7" max="7" width="11" style="93" bestFit="1" customWidth="1"/>
    <col min="8" max="16384" width="9.140625" style="93"/>
  </cols>
  <sheetData>
    <row r="1" spans="1:38" ht="20.25" x14ac:dyDescent="0.3">
      <c r="A1" s="90"/>
      <c r="B1" s="91"/>
      <c r="C1" s="90"/>
      <c r="D1" s="91"/>
      <c r="E1" s="90"/>
      <c r="F1" s="90"/>
      <c r="G1" s="90"/>
      <c r="H1" s="134" t="s">
        <v>0</v>
      </c>
      <c r="I1" s="68"/>
      <c r="J1" s="68"/>
      <c r="K1" s="68"/>
      <c r="L1" s="68"/>
      <c r="M1" s="68"/>
      <c r="N1" s="90"/>
      <c r="O1" s="90"/>
      <c r="P1" s="90"/>
      <c r="Q1" s="90"/>
      <c r="R1" s="90"/>
      <c r="S1" s="90"/>
      <c r="T1" s="90"/>
      <c r="U1" s="90"/>
      <c r="V1" s="90"/>
      <c r="W1" s="90"/>
      <c r="X1" s="90"/>
      <c r="Y1" s="90"/>
      <c r="Z1" s="90"/>
      <c r="AA1" s="90"/>
      <c r="AB1" s="90"/>
      <c r="AC1" s="90"/>
      <c r="AD1" s="90"/>
      <c r="AE1" s="90"/>
      <c r="AF1" s="90"/>
      <c r="AG1" s="90"/>
      <c r="AH1" s="90"/>
      <c r="AI1" s="90"/>
      <c r="AJ1" s="90"/>
      <c r="AK1" s="90"/>
      <c r="AL1" s="90"/>
    </row>
    <row r="2" spans="1:38" x14ac:dyDescent="0.2">
      <c r="A2" s="68"/>
      <c r="B2" s="405"/>
      <c r="C2" s="405"/>
      <c r="D2" s="405"/>
      <c r="E2" s="405"/>
      <c r="F2" s="13"/>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row>
    <row r="3" spans="1:38" x14ac:dyDescent="0.2">
      <c r="A3" s="68"/>
      <c r="B3" s="405" t="s">
        <v>1</v>
      </c>
      <c r="C3" s="405"/>
      <c r="D3" s="405"/>
      <c r="E3" s="405"/>
      <c r="F3" s="13"/>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row>
    <row r="4" spans="1:38" x14ac:dyDescent="0.2">
      <c r="A4" s="68"/>
      <c r="B4" s="137">
        <v>1</v>
      </c>
      <c r="C4" s="93" t="s">
        <v>211</v>
      </c>
      <c r="D4" s="93">
        <v>4.2000000000000003E-2</v>
      </c>
      <c r="E4" s="93" t="s">
        <v>212</v>
      </c>
      <c r="F4" s="136"/>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1:38" x14ac:dyDescent="0.2">
      <c r="A5" s="68"/>
      <c r="B5" s="137">
        <v>1</v>
      </c>
      <c r="C5" s="93" t="s">
        <v>3</v>
      </c>
      <c r="D5" s="93">
        <v>2.2046220000000001</v>
      </c>
      <c r="E5" s="93" t="s">
        <v>212</v>
      </c>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row>
    <row r="6" spans="1:38" x14ac:dyDescent="0.2">
      <c r="A6" s="68"/>
      <c r="B6" s="137">
        <v>1</v>
      </c>
      <c r="C6" s="93" t="s">
        <v>211</v>
      </c>
      <c r="D6" s="138">
        <f>D4/D5</f>
        <v>1.9050884913604238E-2</v>
      </c>
      <c r="E6" s="68" t="s">
        <v>3</v>
      </c>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row>
    <row r="7" spans="1:38" x14ac:dyDescent="0.2">
      <c r="B7" s="93">
        <v>1</v>
      </c>
      <c r="C7" s="93" t="s">
        <v>239</v>
      </c>
      <c r="D7" s="93">
        <v>14.7</v>
      </c>
      <c r="E7" s="93" t="s">
        <v>362</v>
      </c>
    </row>
  </sheetData>
  <mergeCells count="2">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DDBB8D0B-92EE-441E-B0D3-4EE8EC626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41D13-A80D-443B-9984-991F0580922D}">
  <ds:schemaRefs>
    <ds:schemaRef ds:uri="http://schemas.microsoft.com/sharepoint/v3/contenttype/forms"/>
  </ds:schemaRefs>
</ds:datastoreItem>
</file>

<file path=customXml/itemProps3.xml><?xml version="1.0" encoding="utf-8"?>
<ds:datastoreItem xmlns:ds="http://schemas.openxmlformats.org/officeDocument/2006/customXml" ds:itemID="{09041836-3194-4AE5-BD9A-B6FC7F9B926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Info</vt:lpstr>
      <vt:lpstr>Data Summary</vt:lpstr>
      <vt:lpstr>PS</vt:lpstr>
      <vt:lpstr>Reference Source Info</vt:lpstr>
      <vt:lpstr>DQI</vt:lpstr>
      <vt:lpstr>Regions_Map</vt:lpstr>
      <vt:lpstr>Parameter_Definitions</vt:lpstr>
      <vt:lpstr>Calculations</vt:lpstr>
      <vt:lpstr>Conversions</vt:lpstr>
      <vt:lpstr>Chart</vt:lpstr>
      <vt:lpstr>'Data Summary'!Print_Area</vt:lpstr>
      <vt:lpstr>DQI!Print_Area</vt:lpstr>
      <vt:lpstr>Info!Print_Area</vt:lpstr>
      <vt:lpstr>'Reference Source Info'!Print_Area</vt:lpstr>
      <vt:lpstr>'Reference Source Info'!Print_Titles</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DS_Stage1_O_NGWell_LiqUnloading_2011.02</dc:title>
  <dc:creator>James Littlefield</dc:creator>
  <cp:lastModifiedBy>Krynock, Michelle M. (CONTR)</cp:lastModifiedBy>
  <cp:lastPrinted>2010-03-23T19:50:45Z</cp:lastPrinted>
  <dcterms:created xsi:type="dcterms:W3CDTF">2010-02-10T14:56:42Z</dcterms:created>
  <dcterms:modified xsi:type="dcterms:W3CDTF">2017-01-03T20:30:17Z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