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5230" windowHeight="6180" activeTab="1"/>
  </bookViews>
  <sheets>
    <sheet name="Info" sheetId="1" r:id="rId1"/>
    <sheet name="Data Summary" sheetId="2" r:id="rId2"/>
    <sheet name="PS" sheetId="3" r:id="rId3"/>
    <sheet name="Reference Source Info" sheetId="4" r:id="rId4"/>
    <sheet name="DQI" sheetId="5" r:id="rId5"/>
    <sheet name="Input" sheetId="15" r:id="rId6"/>
    <sheet name="Electricity" sheetId="6" r:id="rId7"/>
    <sheet name="Conversions" sheetId="7" r:id="rId8"/>
    <sheet name="Assumptions" sheetId="8" r:id="rId9"/>
    <sheet name="Chart" sheetId="10" r:id="rId10"/>
  </sheets>
  <definedNames>
    <definedName name="solver_eng" localSheetId="9" hidden="1">1</definedName>
    <definedName name="solver_neg" localSheetId="9" hidden="1">1</definedName>
    <definedName name="solver_num" localSheetId="9" hidden="1">0</definedName>
    <definedName name="solver_opt" localSheetId="9" hidden="1">Chart!$G$35</definedName>
    <definedName name="solver_typ" localSheetId="9" hidden="1">1</definedName>
    <definedName name="solver_val" localSheetId="9" hidden="1">0</definedName>
    <definedName name="solver_ver" localSheetId="9" hidden="1">3</definedName>
  </definedNames>
  <calcPr calcId="145621"/>
</workbook>
</file>

<file path=xl/calcChain.xml><?xml version="1.0" encoding="utf-8"?>
<calcChain xmlns="http://schemas.openxmlformats.org/spreadsheetml/2006/main">
  <c r="E85" i="2" l="1"/>
  <c r="E102" i="2"/>
  <c r="E84" i="2"/>
  <c r="G83" i="2"/>
  <c r="F83" i="2"/>
  <c r="C62" i="6"/>
  <c r="C63" i="6"/>
  <c r="C64" i="6"/>
  <c r="C65" i="6"/>
  <c r="C66" i="6"/>
  <c r="C67" i="6"/>
  <c r="C68" i="6"/>
  <c r="C69" i="6"/>
  <c r="C70" i="6"/>
  <c r="C71" i="6"/>
  <c r="C72" i="6"/>
  <c r="C73" i="6"/>
  <c r="C74" i="6"/>
  <c r="C75" i="6"/>
  <c r="C76" i="6"/>
  <c r="C61" i="6"/>
  <c r="M44" i="6"/>
  <c r="M45" i="6"/>
  <c r="M46" i="6"/>
  <c r="M47" i="6"/>
  <c r="M48" i="6"/>
  <c r="M49" i="6"/>
  <c r="M50" i="6"/>
  <c r="M51" i="6"/>
  <c r="M52" i="6"/>
  <c r="M53" i="6"/>
  <c r="M54" i="6"/>
  <c r="M55" i="6"/>
  <c r="M56" i="6"/>
  <c r="M57" i="6"/>
  <c r="M43" i="6"/>
  <c r="K43" i="6"/>
  <c r="D61" i="6"/>
  <c r="C44" i="6"/>
  <c r="C45" i="6"/>
  <c r="C46" i="6"/>
  <c r="C47" i="6"/>
  <c r="C48" i="6"/>
  <c r="C49" i="6"/>
  <c r="C50" i="6"/>
  <c r="C51" i="6"/>
  <c r="C52" i="6"/>
  <c r="C53" i="6"/>
  <c r="C54" i="6"/>
  <c r="C55" i="6"/>
  <c r="C56" i="6"/>
  <c r="C57" i="6"/>
  <c r="C43" i="6"/>
  <c r="I9" i="6"/>
  <c r="I10" i="6"/>
  <c r="I11" i="6"/>
  <c r="I12" i="6"/>
  <c r="I13" i="6"/>
  <c r="I14" i="6"/>
  <c r="I15" i="6"/>
  <c r="I16" i="6"/>
  <c r="I17" i="6"/>
  <c r="I18" i="6"/>
  <c r="I19" i="6"/>
  <c r="I20" i="6"/>
  <c r="I21" i="6"/>
  <c r="I22" i="6"/>
  <c r="I8" i="6"/>
  <c r="J8" i="6" s="1"/>
  <c r="D7" i="7"/>
  <c r="P66" i="15"/>
  <c r="I67" i="15"/>
  <c r="I66" i="15"/>
  <c r="G73" i="15"/>
  <c r="G71" i="15"/>
  <c r="G70" i="15"/>
  <c r="G68" i="15"/>
  <c r="G67" i="15"/>
  <c r="G66" i="15"/>
  <c r="X16" i="15"/>
  <c r="X15" i="15"/>
  <c r="G32" i="15"/>
  <c r="G33" i="15"/>
  <c r="G34" i="15"/>
  <c r="J13" i="15" s="1"/>
  <c r="G35" i="15"/>
  <c r="G36" i="15"/>
  <c r="G31" i="15"/>
  <c r="J37" i="15" s="1"/>
  <c r="P67" i="15"/>
  <c r="P68" i="15"/>
  <c r="P69" i="15"/>
  <c r="P70" i="15"/>
  <c r="P71" i="15"/>
  <c r="P72" i="15"/>
  <c r="P73" i="15"/>
  <c r="P74" i="15"/>
  <c r="P75" i="15"/>
  <c r="P76" i="15"/>
  <c r="P77" i="15"/>
  <c r="P78" i="15"/>
  <c r="P79" i="15"/>
  <c r="P80" i="15"/>
  <c r="I68" i="15"/>
  <c r="I69" i="15"/>
  <c r="I70" i="15"/>
  <c r="I71" i="15"/>
  <c r="I72" i="15"/>
  <c r="I73" i="15"/>
  <c r="I74" i="15"/>
  <c r="I75" i="15"/>
  <c r="I76" i="15"/>
  <c r="I77" i="15"/>
  <c r="I78" i="15"/>
  <c r="I79" i="15"/>
  <c r="I80" i="15"/>
  <c r="F13" i="15"/>
  <c r="F27" i="15"/>
  <c r="F26" i="15"/>
  <c r="F25" i="15"/>
  <c r="F24" i="15"/>
  <c r="F23" i="15"/>
  <c r="F22" i="15"/>
  <c r="F21" i="15"/>
  <c r="F14" i="15"/>
  <c r="G14" i="15" s="1"/>
  <c r="K14" i="15"/>
  <c r="J38" i="15"/>
  <c r="G15" i="15"/>
  <c r="G16" i="15"/>
  <c r="G17" i="15"/>
  <c r="G18" i="15"/>
  <c r="G19" i="15"/>
  <c r="G20" i="15"/>
  <c r="G21" i="15"/>
  <c r="G22" i="15"/>
  <c r="G23" i="15"/>
  <c r="G24" i="15"/>
  <c r="G25" i="15"/>
  <c r="G26" i="15"/>
  <c r="G27" i="15"/>
  <c r="G13" i="15"/>
  <c r="D14" i="15"/>
  <c r="D15" i="15"/>
  <c r="D16" i="15"/>
  <c r="D17" i="15"/>
  <c r="D18" i="15"/>
  <c r="D19" i="15"/>
  <c r="D20" i="15"/>
  <c r="D21" i="15"/>
  <c r="D22" i="15"/>
  <c r="D23" i="15"/>
  <c r="D24" i="15"/>
  <c r="D25" i="15"/>
  <c r="D26" i="15"/>
  <c r="D27" i="15"/>
  <c r="D13" i="15"/>
  <c r="J36" i="15" l="1"/>
  <c r="D133" i="2" s="1"/>
  <c r="D132" i="2"/>
  <c r="D134" i="2"/>
  <c r="D135" i="2"/>
  <c r="B38" i="2" l="1"/>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84" i="2"/>
  <c r="B101" i="2"/>
  <c r="B85" i="2" l="1"/>
  <c r="E87" i="2" l="1"/>
  <c r="J9" i="6"/>
  <c r="J10" i="6"/>
  <c r="E88" i="2" s="1"/>
  <c r="J11" i="6"/>
  <c r="E89" i="2" s="1"/>
  <c r="J12" i="6"/>
  <c r="E90" i="2" s="1"/>
  <c r="J13" i="6"/>
  <c r="E91" i="2" s="1"/>
  <c r="J14" i="6"/>
  <c r="E92" i="2" s="1"/>
  <c r="J15" i="6"/>
  <c r="E93" i="2" s="1"/>
  <c r="J16" i="6"/>
  <c r="E94" i="2" s="1"/>
  <c r="J17" i="6"/>
  <c r="E95" i="2" s="1"/>
  <c r="J18" i="6"/>
  <c r="E96" i="2" s="1"/>
  <c r="J19" i="6"/>
  <c r="E97" i="2" s="1"/>
  <c r="J20" i="6"/>
  <c r="E100" i="2" s="1"/>
  <c r="J21" i="6"/>
  <c r="E98" i="2" s="1"/>
  <c r="J22" i="6"/>
  <c r="E99" i="2" s="1"/>
  <c r="E86" i="2"/>
  <c r="C103" i="2"/>
  <c r="B103" i="2" s="1"/>
  <c r="C104" i="2"/>
  <c r="B104" i="2" s="1"/>
  <c r="C105" i="2"/>
  <c r="B105" i="2" s="1"/>
  <c r="C106" i="2"/>
  <c r="B106" i="2" s="1"/>
  <c r="C107" i="2"/>
  <c r="B107" i="2" s="1"/>
  <c r="C108" i="2"/>
  <c r="B108" i="2" s="1"/>
  <c r="C109" i="2"/>
  <c r="B109" i="2" s="1"/>
  <c r="C110" i="2"/>
  <c r="B110" i="2" s="1"/>
  <c r="C111" i="2"/>
  <c r="B111" i="2" s="1"/>
  <c r="C112" i="2"/>
  <c r="B112" i="2" s="1"/>
  <c r="C113" i="2"/>
  <c r="B113" i="2" s="1"/>
  <c r="C114" i="2"/>
  <c r="B114" i="2" s="1"/>
  <c r="C115" i="2"/>
  <c r="B115" i="2" s="1"/>
  <c r="C116" i="2"/>
  <c r="B116" i="2" s="1"/>
  <c r="C102" i="2"/>
  <c r="B102" i="2" s="1"/>
  <c r="C118" i="2"/>
  <c r="B118" i="2" s="1"/>
  <c r="C119" i="2"/>
  <c r="B119" i="2" s="1"/>
  <c r="C120" i="2"/>
  <c r="B120" i="2" s="1"/>
  <c r="C121" i="2"/>
  <c r="B121" i="2" s="1"/>
  <c r="C122" i="2"/>
  <c r="B122" i="2" s="1"/>
  <c r="C123" i="2"/>
  <c r="B123" i="2" s="1"/>
  <c r="C124" i="2"/>
  <c r="B124" i="2" s="1"/>
  <c r="C125" i="2"/>
  <c r="B125" i="2" s="1"/>
  <c r="C126" i="2"/>
  <c r="B126" i="2" s="1"/>
  <c r="C127" i="2"/>
  <c r="B127" i="2" s="1"/>
  <c r="C128" i="2"/>
  <c r="B128" i="2" s="1"/>
  <c r="C129" i="2"/>
  <c r="B129" i="2" s="1"/>
  <c r="C130" i="2"/>
  <c r="B130" i="2" s="1"/>
  <c r="C131" i="2"/>
  <c r="B131" i="2" s="1"/>
  <c r="C117" i="2"/>
  <c r="B117" i="2" s="1"/>
  <c r="C69" i="2"/>
  <c r="B69" i="2" s="1"/>
  <c r="C70" i="2"/>
  <c r="B70" i="2" s="1"/>
  <c r="C71" i="2"/>
  <c r="B71" i="2" s="1"/>
  <c r="C72" i="2"/>
  <c r="B72" i="2" s="1"/>
  <c r="C73" i="2"/>
  <c r="B73" i="2" s="1"/>
  <c r="C74" i="2"/>
  <c r="B74" i="2" s="1"/>
  <c r="C75" i="2"/>
  <c r="B75" i="2" s="1"/>
  <c r="C76" i="2"/>
  <c r="B76" i="2" s="1"/>
  <c r="C77" i="2"/>
  <c r="B77" i="2" s="1"/>
  <c r="C78" i="2"/>
  <c r="B78" i="2" s="1"/>
  <c r="C79" i="2"/>
  <c r="B79" i="2" s="1"/>
  <c r="C80" i="2"/>
  <c r="B80" i="2" s="1"/>
  <c r="C81" i="2"/>
  <c r="B81" i="2" s="1"/>
  <c r="C82" i="2"/>
  <c r="B82" i="2" s="1"/>
  <c r="C68" i="2"/>
  <c r="B68" i="2" s="1"/>
  <c r="B83" i="2" l="1"/>
  <c r="B135" i="2" l="1"/>
  <c r="B134" i="2"/>
  <c r="B133" i="2" l="1"/>
  <c r="B132" i="2"/>
  <c r="E64" i="2"/>
  <c r="E66" i="2"/>
  <c r="E62" i="2"/>
  <c r="E65" i="2"/>
  <c r="E63" i="2"/>
  <c r="E67" i="2"/>
  <c r="E61" i="2"/>
  <c r="E60" i="2"/>
  <c r="E59" i="2"/>
  <c r="E58" i="2"/>
  <c r="E57" i="2"/>
  <c r="E56" i="2"/>
  <c r="E55" i="2"/>
  <c r="E54" i="2"/>
  <c r="E53" i="2"/>
  <c r="D76" i="6" l="1"/>
  <c r="D75" i="6"/>
  <c r="D74" i="6"/>
  <c r="D73" i="6"/>
  <c r="D72" i="6"/>
  <c r="D71" i="6"/>
  <c r="D70" i="6"/>
  <c r="D69" i="6"/>
  <c r="D68" i="6"/>
  <c r="D67" i="6"/>
  <c r="D66" i="6"/>
  <c r="D65" i="6"/>
  <c r="D64" i="6"/>
  <c r="D63" i="6"/>
  <c r="D62" i="6"/>
  <c r="B100" i="2"/>
  <c r="B99" i="2"/>
  <c r="B98" i="2"/>
  <c r="B97" i="2"/>
  <c r="B96" i="2"/>
  <c r="B95" i="2"/>
  <c r="B94" i="2"/>
  <c r="B93" i="2"/>
  <c r="B92" i="2"/>
  <c r="B91" i="2"/>
  <c r="B90" i="2"/>
  <c r="B89" i="2"/>
  <c r="B88" i="2"/>
  <c r="B87" i="2"/>
  <c r="B86" i="2"/>
  <c r="K57" i="6"/>
  <c r="K56" i="6"/>
  <c r="K55" i="6"/>
  <c r="K54" i="6"/>
  <c r="K53" i="6"/>
  <c r="K52" i="6"/>
  <c r="K51" i="6"/>
  <c r="K50" i="6"/>
  <c r="K49" i="6"/>
  <c r="K48" i="6"/>
  <c r="K47" i="6"/>
  <c r="K46" i="6"/>
  <c r="K45" i="6"/>
  <c r="K44" i="6"/>
  <c r="H57" i="6"/>
  <c r="H56" i="6"/>
  <c r="H55" i="6"/>
  <c r="H54" i="6"/>
  <c r="H53" i="6"/>
  <c r="H52" i="6"/>
  <c r="H51" i="6"/>
  <c r="H50" i="6"/>
  <c r="H49" i="6"/>
  <c r="H48" i="6"/>
  <c r="H47" i="6"/>
  <c r="H46" i="6"/>
  <c r="H45" i="6"/>
  <c r="H44" i="6"/>
  <c r="H43" i="6"/>
  <c r="E57" i="6"/>
  <c r="E56" i="6"/>
  <c r="E55" i="6"/>
  <c r="E54" i="6"/>
  <c r="E53" i="6"/>
  <c r="E52" i="6"/>
  <c r="E51" i="6"/>
  <c r="E50" i="6"/>
  <c r="E49" i="6"/>
  <c r="E48" i="6"/>
  <c r="E47" i="6"/>
  <c r="E46" i="6"/>
  <c r="E45" i="6"/>
  <c r="E44" i="6"/>
  <c r="E43" i="6"/>
  <c r="G80" i="15"/>
  <c r="G79" i="15"/>
  <c r="G78" i="15"/>
  <c r="G77" i="15"/>
  <c r="G76" i="15"/>
  <c r="G75" i="15"/>
  <c r="G74" i="15"/>
  <c r="G72" i="15"/>
  <c r="G69" i="15"/>
  <c r="E101" i="2" l="1"/>
  <c r="E49" i="2"/>
  <c r="E51" i="2"/>
  <c r="E47" i="2"/>
  <c r="E39" i="2" l="1"/>
  <c r="F15" i="15"/>
  <c r="E40" i="2" s="1"/>
  <c r="F16" i="15"/>
  <c r="E41" i="2" s="1"/>
  <c r="F17" i="15"/>
  <c r="E42" i="2" s="1"/>
  <c r="F18" i="15"/>
  <c r="E43" i="2" s="1"/>
  <c r="F19" i="15"/>
  <c r="E44" i="2" s="1"/>
  <c r="F20" i="15"/>
  <c r="E45" i="2" s="1"/>
  <c r="E46" i="2"/>
  <c r="E52" i="2"/>
  <c r="E48" i="2"/>
  <c r="E50" i="2"/>
  <c r="E38" i="2" l="1"/>
  <c r="D6" i="7"/>
  <c r="E103" i="2" l="1"/>
  <c r="E111" i="2"/>
  <c r="E105" i="2"/>
  <c r="E113" i="2"/>
  <c r="E106" i="2"/>
  <c r="E114" i="2"/>
  <c r="E107" i="2"/>
  <c r="E115" i="2"/>
  <c r="E112" i="2"/>
  <c r="E108" i="2"/>
  <c r="E116" i="2"/>
  <c r="E110" i="2"/>
  <c r="E109" i="2"/>
  <c r="E104" i="2"/>
  <c r="H152" i="2"/>
  <c r="E135" i="2" l="1"/>
  <c r="G152" i="2" s="1"/>
  <c r="I152" i="2" s="1"/>
  <c r="E132" i="2"/>
  <c r="E134" i="2"/>
  <c r="E133" i="2"/>
  <c r="I7" i="5"/>
  <c r="J7" i="5"/>
  <c r="K7" i="5"/>
  <c r="B23" i="2" l="1"/>
  <c r="B24" i="2"/>
  <c r="B25" i="2"/>
  <c r="B26" i="2"/>
  <c r="B27" i="2"/>
  <c r="B28" i="2"/>
  <c r="B29" i="2"/>
  <c r="B30" i="2"/>
  <c r="B31" i="2"/>
  <c r="B32" i="2"/>
  <c r="B33" i="2"/>
  <c r="B34" i="2"/>
  <c r="B35" i="2"/>
  <c r="B36" i="2"/>
  <c r="B37" i="2"/>
  <c r="D4" i="7"/>
  <c r="H154" i="2" l="1"/>
  <c r="G154" i="2"/>
  <c r="I154" i="2" s="1"/>
  <c r="K5" i="5" l="1"/>
  <c r="J5" i="5"/>
  <c r="I5" i="5"/>
  <c r="I9" i="5" l="1"/>
  <c r="N5" i="2" s="1"/>
  <c r="K8" i="5"/>
  <c r="J8" i="5"/>
  <c r="I8" i="5"/>
  <c r="K6" i="5"/>
  <c r="J6" i="5"/>
  <c r="I6"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153" i="2"/>
  <c r="G153" i="2"/>
  <c r="I153" i="2" s="1"/>
  <c r="H151" i="2"/>
  <c r="G151" i="2"/>
  <c r="H145" i="2"/>
  <c r="G145" i="2"/>
  <c r="I145" i="2" s="1"/>
  <c r="H144" i="2"/>
  <c r="G144" i="2"/>
  <c r="I144" i="2" s="1"/>
  <c r="H143" i="2"/>
  <c r="G143" i="2"/>
  <c r="I143" i="2" s="1"/>
  <c r="H142" i="2"/>
  <c r="G142" i="2"/>
  <c r="I142" i="2" s="1"/>
  <c r="H141" i="2"/>
  <c r="G141" i="2"/>
  <c r="I141" i="2" s="1"/>
  <c r="G11" i="2"/>
  <c r="D4" i="1"/>
  <c r="D3" i="1"/>
  <c r="C27" i="1" s="1"/>
  <c r="I151" i="2" l="1"/>
</calcChain>
</file>

<file path=xl/sharedStrings.xml><?xml version="1.0" encoding="utf-8"?>
<sst xmlns="http://schemas.openxmlformats.org/spreadsheetml/2006/main" count="1031" uniqueCount="572">
  <si>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</si>
  <si>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</si>
  <si>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</si>
  <si>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</si>
  <si>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</si>
  <si>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</si>
  <si>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</si>
  <si>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</si>
  <si>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</si>
  <si>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</si>
  <si>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</si>
  <si>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</si>
  <si>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</si>
  <si>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</si>
  <si>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</si>
  <si>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</si>
  <si>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</si>
  <si>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</si>
  <si>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</si>
  <si>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</si>
  <si>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</si>
  <si>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</si>
  <si>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</si>
  <si>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</si>
  <si>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</si>
  <si>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</si>
  <si>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</si>
  <si>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</si>
  <si>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</si>
  <si>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</si>
  <si>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</si>
  <si>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</si>
  <si>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</si>
  <si>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</si>
  <si>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</si>
  <si>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</si>
  <si>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</si>
  <si>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</si>
  <si>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</si>
  <si>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</si>
  <si>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</si>
  <si>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</si>
  <si>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</si>
  <si>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</si>
  <si>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</si>
  <si>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</si>
  <si>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</si>
  <si>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</si>
  <si>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</si>
  <si>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</si>
  <si>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</si>
  <si>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</si>
  <si>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</si>
  <si>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</si>
  <si>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</si>
  <si>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</si>
  <si>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</si>
  <si>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</si>
  <si>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</si>
  <si>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</si>
  <si>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</si>
  <si>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</si>
  <si>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</si>
  <si>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</si>
  <si>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</si>
  <si>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</si>
  <si>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</si>
  <si>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</si>
  <si>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</si>
  <si>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</si>
  <si>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</si>
  <si>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</si>
  <si>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</si>
  <si>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</si>
  <si>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</si>
  <si>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</si>
  <si>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</si>
  <si>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</si>
  <si>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</si>
  <si>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</si>
  <si>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</si>
  <si>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</si>
  <si>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</si>
  <si>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</si>
  <si>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</si>
  <si>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</si>
  <si>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</si>
  <si>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</si>
  <si>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</si>
  <si>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</si>
  <si>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</si>
  <si>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</si>
  <si>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</si>
  <si>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</si>
  <si>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</si>
  <si>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</si>
  <si>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</si>
  <si>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</si>
  <si>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</si>
  <si>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</si>
  <si>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</si>
  <si>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</si>
  <si>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</si>
  <si>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</si>
  <si>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</si>
  <si>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</si>
  <si>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</si>
  <si>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</si>
  <si>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</si>
  <si>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</si>
  <si>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</si>
  <si>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</si>
  <si>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</si>
  <si>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</si>
  <si>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</si>
  <si>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</si>
  <si>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</si>
  <si>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</si>
  <si>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</si>
  <si>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</si>
  <si>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</si>
  <si>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</si>
  <si>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</si>
  <si>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</si>
  <si>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</si>
  <si>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</si>
  <si>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</si>
  <si>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</si>
  <si>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</si>
  <si>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</si>
  <si>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</si>
  <si>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</si>
  <si>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</si>
  <si>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</si>
  <si>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</si>
  <si>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</si>
  <si>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</si>
  <si>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</si>
  <si>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</si>
  <si>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</si>
  <si>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</si>
  <si>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</si>
  <si>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</si>
  <si>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</si>
  <si>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</si>
  <si>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</si>
  <si>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</si>
  <si>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</si>
  <si>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</si>
  <si>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</si>
  <si>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</si>
  <si>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</si>
  <si>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</si>
  <si>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</si>
  <si>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</si>
  <si>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</si>
  <si>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</si>
  <si>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</si>
  <si>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</si>
  <si>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</si>
  <si>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</si>
  <si>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</si>
  <si>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</si>
  <si>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</si>
  <si>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</si>
  <si>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</si>
  <si>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</si>
  <si>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</si>
  <si>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</si>
  <si>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</si>
  <si>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</si>
  <si>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</si>
  <si>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</si>
  <si>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</si>
  <si>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</si>
  <si>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</si>
  <si>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</si>
  <si>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</si>
  <si>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</si>
  <si>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</si>
  <si>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</si>
  <si>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</si>
  <si>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</si>
  <si>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</si>
  <si>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</si>
  <si>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</si>
  <si>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</si>
  <si>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</si>
  <si>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</si>
  <si>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</si>
  <si>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</si>
  <si>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</si>
  <si>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</si>
  <si>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</si>
  <si>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</si>
  <si>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</si>
  <si>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</si>
  <si>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</si>
  <si>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</si>
  <si>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</si>
  <si>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</si>
  <si>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</si>
  <si>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</si>
  <si>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</si>
  <si>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</si>
  <si>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</si>
  <si>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</si>
  <si>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</si>
  <si>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</si>
  <si>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</si>
  <si>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</si>
  <si>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</si>
  <si>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</si>
  <si>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</si>
  <si>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</si>
  <si>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</si>
  <si>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</si>
  <si>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</si>
  <si>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</si>
  <si>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</si>
  <si>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</si>
  <si>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</si>
  <si>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</si>
  <si>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</si>
  <si>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</si>
  <si>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</si>
  <si>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</si>
  <si>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</si>
  <si>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</si>
  <si>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</si>
  <si>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</si>
  <si>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2013</t>
  </si>
  <si>
    <t>kWh</t>
  </si>
  <si>
    <t>GJ</t>
  </si>
  <si>
    <t>tonne</t>
  </si>
  <si>
    <t>Reference [3]</t>
  </si>
  <si>
    <t>Reference [1]</t>
  </si>
  <si>
    <t>kWh/kg</t>
  </si>
  <si>
    <t>Material Inputs</t>
  </si>
  <si>
    <t xml:space="preserve">Piero, Laura and Menendez, Gara </t>
  </si>
  <si>
    <t>Material and Energy Requirement for Rare Earth Production</t>
  </si>
  <si>
    <t>October 10</t>
  </si>
  <si>
    <t>65</t>
  </si>
  <si>
    <t>10</t>
  </si>
  <si>
    <t xml:space="preserve">Journal of The Minerals, Metals &amp; Materials Society </t>
  </si>
  <si>
    <r>
      <t xml:space="preserve">Note: All inputs and outputs are normalized per the reference flow (e.g., per </t>
    </r>
    <r>
      <rPr>
        <b/>
        <sz val="10"/>
        <color indexed="8"/>
        <rFont val="Arial"/>
        <family val="2"/>
      </rPr>
      <t xml:space="preserve">kg </t>
    </r>
    <r>
      <rPr>
        <sz val="10"/>
        <color indexed="8"/>
        <rFont val="Arial"/>
        <family val="2"/>
      </rPr>
      <t>of rare earth)</t>
    </r>
  </si>
  <si>
    <t>rare earth metal</t>
  </si>
  <si>
    <t>No</t>
  </si>
  <si>
    <t>United States</t>
  </si>
  <si>
    <t>Rare Earth Oxide</t>
  </si>
  <si>
    <t>kg/kg</t>
  </si>
  <si>
    <t>Rare Earth Metal</t>
  </si>
  <si>
    <t>Pr₆O₁₁</t>
  </si>
  <si>
    <t>Nd₂O₃</t>
  </si>
  <si>
    <t>g/mol</t>
  </si>
  <si>
    <t>Pr</t>
  </si>
  <si>
    <t>Nd</t>
  </si>
  <si>
    <t>La</t>
  </si>
  <si>
    <t>Ce</t>
  </si>
  <si>
    <t>Sm</t>
  </si>
  <si>
    <t>Eu</t>
  </si>
  <si>
    <t>Gd</t>
  </si>
  <si>
    <t>Tb</t>
  </si>
  <si>
    <t>Dy</t>
  </si>
  <si>
    <t>Ho</t>
  </si>
  <si>
    <t>Er</t>
  </si>
  <si>
    <t>Tm</t>
  </si>
  <si>
    <t>Yb</t>
  </si>
  <si>
    <t>Lu</t>
  </si>
  <si>
    <t>Y</t>
  </si>
  <si>
    <t>La2O3_MW</t>
  </si>
  <si>
    <t>CeO2_MW</t>
  </si>
  <si>
    <t>Y2O3_MW</t>
  </si>
  <si>
    <t>kg/mol</t>
  </si>
  <si>
    <t>CeO₂</t>
  </si>
  <si>
    <t>La₂O₃</t>
  </si>
  <si>
    <t>Sm₂O₃</t>
  </si>
  <si>
    <t>Eu₂O₃</t>
  </si>
  <si>
    <t>Gd₂O₃</t>
  </si>
  <si>
    <t>Tb₄O₇</t>
  </si>
  <si>
    <t>Dy₂O₃</t>
  </si>
  <si>
    <t>Ho₂O₃</t>
  </si>
  <si>
    <t>Er₂O₃</t>
  </si>
  <si>
    <t>Tm₂O₃</t>
  </si>
  <si>
    <t>Yb₂O₃</t>
  </si>
  <si>
    <t>Lu₂O₃</t>
  </si>
  <si>
    <t>Y₂O₃</t>
  </si>
  <si>
    <t>molar mass of oxide</t>
  </si>
  <si>
    <t>Moles in oxide</t>
  </si>
  <si>
    <t>kg element in oxide</t>
  </si>
  <si>
    <t>g/mol oxide</t>
  </si>
  <si>
    <t>REO_in</t>
  </si>
  <si>
    <t>Pr6O11_MW</t>
  </si>
  <si>
    <t>Nd2O3_MW</t>
  </si>
  <si>
    <t>Sm2O3_MW</t>
  </si>
  <si>
    <t>Eu2O3_MW</t>
  </si>
  <si>
    <t>Gd2O3_MW</t>
  </si>
  <si>
    <t>Tb4O7_MW</t>
  </si>
  <si>
    <t>Dy2O3_MW</t>
  </si>
  <si>
    <t>Ho2O3_MW</t>
  </si>
  <si>
    <t>Er2O3_MW</t>
  </si>
  <si>
    <t>Tm2O3_MW</t>
  </si>
  <si>
    <t>Yb2O3_MW</t>
  </si>
  <si>
    <t>Lu2O3_MW</t>
  </si>
  <si>
    <t>Ce_MW</t>
  </si>
  <si>
    <t>La_MW</t>
  </si>
  <si>
    <t>Pr_MW</t>
  </si>
  <si>
    <t>Nd_MW</t>
  </si>
  <si>
    <t>Sm_MW</t>
  </si>
  <si>
    <t>Eu_MW</t>
  </si>
  <si>
    <t>Gd_MW</t>
  </si>
  <si>
    <t>Tb_MW</t>
  </si>
  <si>
    <t>Dy_MW</t>
  </si>
  <si>
    <t>Ho_MW</t>
  </si>
  <si>
    <t>Er_MW</t>
  </si>
  <si>
    <t>Tm_MW</t>
  </si>
  <si>
    <t>Yb_MW</t>
  </si>
  <si>
    <t>Lu_MW</t>
  </si>
  <si>
    <t>Y_MW</t>
  </si>
  <si>
    <t>[kg/mol] kg rare earth oxide per mol of rare earth oxide</t>
  </si>
  <si>
    <t>[kg/mol] kg of rare earth element per mol of rare earth oxide</t>
  </si>
  <si>
    <t>[binary] Parameter to select cerium metal as the output</t>
  </si>
  <si>
    <t>[kg/kg] kg of rare earth oxide input per kg of rare earth metal output</t>
  </si>
  <si>
    <t>1,3</t>
  </si>
  <si>
    <t>Extractive Metallurgy of Rare Earths</t>
  </si>
  <si>
    <t>Gupta, C.K.</t>
  </si>
  <si>
    <t>N. Krishnamurthy</t>
  </si>
  <si>
    <t>2005</t>
  </si>
  <si>
    <t>Boca Raton, FL.</t>
  </si>
  <si>
    <t>CRC Press</t>
  </si>
  <si>
    <t>[binary] Parameter to select lanthanum metal as the output</t>
  </si>
  <si>
    <t>[binary] Parameter to select praseodymium metal as the output</t>
  </si>
  <si>
    <t>[binary] Parameter to select neodymium metal as the output</t>
  </si>
  <si>
    <t>[binary] Parameter to select samarium metal as the output</t>
  </si>
  <si>
    <t>[binary] Parameter to select europium metal as the output</t>
  </si>
  <si>
    <t>[binary] Parameter to select gadolinium metal as the output</t>
  </si>
  <si>
    <t>[binary] Parameter to select terbium metal as the output</t>
  </si>
  <si>
    <t>[binary] Parameter to select dysprosium metal as the output</t>
  </si>
  <si>
    <t>[binary] Parameter to select holmium metal as the output</t>
  </si>
  <si>
    <t>[binary] Parameter to select erbium metal as the output</t>
  </si>
  <si>
    <t>[binary] Parameter to select ytterbium metal as the output</t>
  </si>
  <si>
    <t>[binary] Parameter to select thulium metal as the output</t>
  </si>
  <si>
    <t>[binary] Parameter to select lutetium metal as the output</t>
  </si>
  <si>
    <t>[binary] Parameter to select yttrium metal as the output</t>
  </si>
  <si>
    <t>1,2,4</t>
  </si>
  <si>
    <t>[Technosphere] Rare earth oxide</t>
  </si>
  <si>
    <t>N/A</t>
  </si>
  <si>
    <t>Metallothermic Reduction of Rare Earth Oxides</t>
  </si>
  <si>
    <t>Ram A. Sharma</t>
  </si>
  <si>
    <t>1986</t>
  </si>
  <si>
    <t>March 25</t>
  </si>
  <si>
    <t>U.S. Patent</t>
  </si>
  <si>
    <t>Patent Number 4,578242</t>
  </si>
  <si>
    <t>June 3, 2014</t>
  </si>
  <si>
    <t>electronic</t>
  </si>
  <si>
    <t>1984</t>
  </si>
  <si>
    <t>U.S. Patent for metallothermic reduction of rare earth oxides using a molten calcium chloride bath and sodium metal.</t>
  </si>
  <si>
    <t>Washington, DC</t>
  </si>
  <si>
    <t>http://www.google.com/patents/US4578242</t>
  </si>
  <si>
    <t>Sharma, Ram A. (1986) Metallothermic Reduction of Rare Earth Oxides. U.S. Patent 4,578,242. Washington, DC: US.  Accessed June 3, 2014 from http://www.google.com/patents/US4578242</t>
  </si>
  <si>
    <t>Figure 4.59 Processes for the preparation of rare earth metals by oxide reduction.</t>
  </si>
  <si>
    <t>Table I and Table IX</t>
  </si>
  <si>
    <t>June 6, 2014</t>
  </si>
  <si>
    <t>Mol. weight</t>
  </si>
  <si>
    <t>Melting points</t>
  </si>
  <si>
    <t>Specific heat</t>
  </si>
  <si>
    <t>Latent heat</t>
  </si>
  <si>
    <t>Rare earths</t>
  </si>
  <si>
    <t>(g/mol)</t>
  </si>
  <si>
    <t>(ºC)</t>
  </si>
  <si>
    <t>Cp (kJ/kg·K)</t>
  </si>
  <si>
    <t>Spe.heat to melt (kWh)</t>
  </si>
  <si>
    <t>Heat to change phase (kWh)</t>
  </si>
  <si>
    <t>Cerium</t>
  </si>
  <si>
    <t>Lanthanum</t>
  </si>
  <si>
    <t>Neodymium</t>
  </si>
  <si>
    <t>Samarium</t>
  </si>
  <si>
    <t>Europium</t>
  </si>
  <si>
    <t>Gadolinium</t>
  </si>
  <si>
    <t>Terbium</t>
  </si>
  <si>
    <t>Dysprosium</t>
  </si>
  <si>
    <t>Holmium</t>
  </si>
  <si>
    <t>Erbium</t>
  </si>
  <si>
    <t>Thulium</t>
  </si>
  <si>
    <t>Yttrium</t>
  </si>
  <si>
    <t>Ytterbium</t>
  </si>
  <si>
    <t>Lutetium</t>
  </si>
  <si>
    <t>Praseodymium</t>
  </si>
  <si>
    <t>The term "rare earth oxide"  applies to oxide, carbonate, chlorate, oxalate, or other form.</t>
  </si>
  <si>
    <t>Element</t>
  </si>
  <si>
    <t>2012</t>
  </si>
  <si>
    <t>REO</t>
  </si>
  <si>
    <t>Pm is not detected in nature, has a low period of half decay, and its main route of production is artificial synthesis. Therefore it is not considered here.</t>
  </si>
  <si>
    <t>MW (g/mol)</t>
  </si>
  <si>
    <t>REE</t>
  </si>
  <si>
    <t>g</t>
  </si>
  <si>
    <t>Calcium</t>
  </si>
  <si>
    <t>Ca</t>
  </si>
  <si>
    <t>Fluoride</t>
  </si>
  <si>
    <t>F</t>
  </si>
  <si>
    <t>(RE: Rare Earth)</t>
  </si>
  <si>
    <t>Reference [2]</t>
  </si>
  <si>
    <t>Hydrogen</t>
  </si>
  <si>
    <t>H</t>
  </si>
  <si>
    <t>kg/mol REO</t>
  </si>
  <si>
    <t>MW (kg/mol)</t>
  </si>
  <si>
    <t>Sodium</t>
  </si>
  <si>
    <t>Na</t>
  </si>
  <si>
    <t>CaCl₂</t>
  </si>
  <si>
    <t>Q: Amount energy released or absorbed during phase change (kJ)</t>
  </si>
  <si>
    <t>ΔHf (J/g)</t>
  </si>
  <si>
    <r>
      <t>ΔH</t>
    </r>
    <r>
      <rPr>
        <vertAlign val="subscript"/>
        <sz val="12"/>
        <color theme="1"/>
        <rFont val="Arial"/>
        <family val="2"/>
      </rPr>
      <t xml:space="preserve">f </t>
    </r>
    <r>
      <rPr>
        <sz val="12"/>
        <color theme="1"/>
        <rFont val="Arial"/>
        <family val="2"/>
      </rPr>
      <t>is the specific latent heat of fusion (kJ/kg)</t>
    </r>
  </si>
  <si>
    <r>
      <rPr>
        <i/>
        <sz val="12"/>
        <color theme="1"/>
        <rFont val="Bradley Hand ITC"/>
        <family val="4"/>
      </rPr>
      <t>m</t>
    </r>
    <r>
      <rPr>
        <sz val="12"/>
        <color theme="1"/>
        <rFont val="Arial"/>
        <family val="2"/>
      </rPr>
      <t>: mass of substance (kg)</t>
    </r>
  </si>
  <si>
    <t>(GJ/tonne)</t>
  </si>
  <si>
    <t>ΔHf (kJ/kg)</t>
  </si>
  <si>
    <r>
      <t>Q</t>
    </r>
    <r>
      <rPr>
        <vertAlign val="subscript"/>
        <sz val="12"/>
        <color theme="1"/>
        <rFont val="Arial"/>
        <family val="2"/>
      </rPr>
      <t>latent</t>
    </r>
    <r>
      <rPr>
        <sz val="12"/>
        <color theme="1"/>
        <rFont val="Arial"/>
        <family val="2"/>
      </rPr>
      <t xml:space="preserve"> = </t>
    </r>
    <r>
      <rPr>
        <i/>
        <sz val="12"/>
        <color theme="1"/>
        <rFont val="Bradley Hand ITC"/>
        <family val="4"/>
      </rPr>
      <t xml:space="preserve"> m</t>
    </r>
    <r>
      <rPr>
        <sz val="12"/>
        <color theme="1"/>
        <rFont val="Arial"/>
        <family val="2"/>
      </rPr>
      <t xml:space="preserve"> *  ΔH</t>
    </r>
    <r>
      <rPr>
        <vertAlign val="subscript"/>
        <sz val="12"/>
        <color theme="1"/>
        <rFont val="Arial"/>
        <family val="2"/>
      </rPr>
      <t>f</t>
    </r>
  </si>
  <si>
    <t>ΔT: change in temperature</t>
  </si>
  <si>
    <r>
      <t xml:space="preserve">m: </t>
    </r>
    <r>
      <rPr>
        <sz val="12"/>
        <color theme="1"/>
        <rFont val="Arial"/>
        <family val="2"/>
      </rPr>
      <t>mass</t>
    </r>
  </si>
  <si>
    <r>
      <t>C</t>
    </r>
    <r>
      <rPr>
        <vertAlign val="subscript"/>
        <sz val="12"/>
        <color theme="1"/>
        <rFont val="Arial"/>
        <family val="2"/>
      </rPr>
      <t>p</t>
    </r>
    <r>
      <rPr>
        <sz val="12"/>
        <color theme="1"/>
        <rFont val="Arial"/>
        <family val="2"/>
      </rPr>
      <t>: specific heat capacity</t>
    </r>
  </si>
  <si>
    <r>
      <t>Q</t>
    </r>
    <r>
      <rPr>
        <vertAlign val="subscript"/>
        <sz val="12"/>
        <color theme="1"/>
        <rFont val="Arial"/>
        <family val="2"/>
      </rPr>
      <t>sensible</t>
    </r>
    <r>
      <rPr>
        <sz val="12"/>
        <color theme="1"/>
        <rFont val="Arial"/>
        <family val="2"/>
      </rPr>
      <t xml:space="preserve"> = </t>
    </r>
    <r>
      <rPr>
        <i/>
        <sz val="12"/>
        <color theme="1"/>
        <rFont val="Bradley Hand ITC"/>
        <family val="4"/>
      </rPr>
      <t>m</t>
    </r>
    <r>
      <rPr>
        <sz val="12"/>
        <color theme="1"/>
        <rFont val="Arial"/>
        <family val="2"/>
      </rPr>
      <t xml:space="preserve"> * C</t>
    </r>
    <r>
      <rPr>
        <vertAlign val="subscript"/>
        <sz val="12"/>
        <color theme="1"/>
        <rFont val="Arial"/>
        <family val="2"/>
      </rPr>
      <t>p</t>
    </r>
    <r>
      <rPr>
        <sz val="12"/>
        <color theme="1"/>
        <rFont val="Arial"/>
        <family val="2"/>
      </rPr>
      <t xml:space="preserve"> *ΔT</t>
    </r>
  </si>
  <si>
    <t>MW</t>
  </si>
  <si>
    <t>Melting Pts</t>
  </si>
  <si>
    <t>K</t>
  </si>
  <si>
    <t>Spe.heat to melt (kJ)</t>
  </si>
  <si>
    <t>Heat to change phase (kJ)</t>
  </si>
  <si>
    <r>
      <t>RE</t>
    </r>
    <r>
      <rPr>
        <b/>
        <vertAlign val="subscript"/>
        <sz val="12"/>
        <rFont val="Arial"/>
        <family val="2"/>
      </rPr>
      <t>2</t>
    </r>
    <r>
      <rPr>
        <b/>
        <sz val="12"/>
        <rFont val="Arial"/>
        <family val="2"/>
      </rPr>
      <t>O</t>
    </r>
    <r>
      <rPr>
        <b/>
        <vertAlign val="subscript"/>
        <sz val="12"/>
        <rFont val="Arial"/>
        <family val="2"/>
      </rPr>
      <t>3</t>
    </r>
    <r>
      <rPr>
        <b/>
        <sz val="12"/>
        <rFont val="Arial"/>
        <family val="2"/>
      </rPr>
      <t xml:space="preserve"> + 3CaCl</t>
    </r>
    <r>
      <rPr>
        <b/>
        <vertAlign val="subscript"/>
        <sz val="12"/>
        <rFont val="Arial"/>
        <family val="2"/>
      </rPr>
      <t>2</t>
    </r>
    <r>
      <rPr>
        <b/>
        <sz val="12"/>
        <rFont val="Arial"/>
        <family val="2"/>
      </rPr>
      <t xml:space="preserve"> + 6 Na -&gt; 3 CaO + 2RE + 6 NaCl</t>
    </r>
  </si>
  <si>
    <t>Chlorine</t>
  </si>
  <si>
    <t>Cl</t>
  </si>
  <si>
    <r>
      <t>CaCl</t>
    </r>
    <r>
      <rPr>
        <vertAlign val="subscript"/>
        <sz val="11"/>
        <color theme="1"/>
        <rFont val="Calibri"/>
        <family val="2"/>
        <scheme val="minor"/>
      </rPr>
      <t>2</t>
    </r>
  </si>
  <si>
    <t>Oxide Composition</t>
  </si>
  <si>
    <t>NRG_Ce</t>
  </si>
  <si>
    <t>NRG_La</t>
  </si>
  <si>
    <t>NRG_Pr</t>
  </si>
  <si>
    <t>NRG_Nd</t>
  </si>
  <si>
    <t>kWh/tonne</t>
  </si>
  <si>
    <t>kJ/kg</t>
  </si>
  <si>
    <t>NRG_Sm</t>
  </si>
  <si>
    <t>NRG_Eu</t>
  </si>
  <si>
    <t>NRG_Gd</t>
  </si>
  <si>
    <t>NRG_Tb</t>
  </si>
  <si>
    <t>NRG_Dy</t>
  </si>
  <si>
    <t>NRG_Ho</t>
  </si>
  <si>
    <t>NRG_Er</t>
  </si>
  <si>
    <t>NRG_Tm</t>
  </si>
  <si>
    <t>NRG_Yb</t>
  </si>
  <si>
    <t>NRG_Lu</t>
  </si>
  <si>
    <t>NRG_Y</t>
  </si>
  <si>
    <t>Ce_out</t>
  </si>
  <si>
    <t>La_out</t>
  </si>
  <si>
    <t>Pr_out</t>
  </si>
  <si>
    <t>Nd_out</t>
  </si>
  <si>
    <t>Sm_out</t>
  </si>
  <si>
    <t>Eu_out</t>
  </si>
  <si>
    <t>Gd_out</t>
  </si>
  <si>
    <t>Tb_out</t>
  </si>
  <si>
    <t>Dy_out</t>
  </si>
  <si>
    <t>NRG_in</t>
  </si>
  <si>
    <r>
      <t>CaCl</t>
    </r>
    <r>
      <rPr>
        <vertAlign val="subscript"/>
        <sz val="11"/>
        <color theme="1"/>
        <rFont val="Calibri"/>
        <family val="2"/>
        <scheme val="minor"/>
      </rPr>
      <t>2_</t>
    </r>
    <r>
      <rPr>
        <sz val="11"/>
        <color theme="1"/>
        <rFont val="Calibri"/>
        <family val="2"/>
        <scheme val="minor"/>
      </rPr>
      <t>in</t>
    </r>
  </si>
  <si>
    <t>CaO</t>
  </si>
  <si>
    <t>O</t>
  </si>
  <si>
    <t>Oxygen</t>
  </si>
  <si>
    <t>CaO_out</t>
  </si>
  <si>
    <t>NaCl</t>
  </si>
  <si>
    <t>NaCl_out</t>
  </si>
  <si>
    <t>1, 2</t>
  </si>
  <si>
    <t>Na_mass_in</t>
  </si>
  <si>
    <t>Emission to Water</t>
  </si>
  <si>
    <t>Reference Flow</t>
  </si>
  <si>
    <t>Input</t>
  </si>
  <si>
    <t>Material inputs for metallothermic process</t>
  </si>
  <si>
    <t>Calcium Chloride</t>
  </si>
  <si>
    <t>Ho_out</t>
  </si>
  <si>
    <t>Er_out</t>
  </si>
  <si>
    <t>Tm_out</t>
  </si>
  <si>
    <t>Yb_out</t>
  </si>
  <si>
    <t>Lu_out</t>
  </si>
  <si>
    <t>[Technosphere] Energy</t>
  </si>
  <si>
    <t>[Technosphere] Sodium</t>
  </si>
  <si>
    <t>[Technosphere] Calcium Chloride</t>
  </si>
  <si>
    <t>Heat Energy</t>
  </si>
  <si>
    <t>Textbook on Extractive Metallurgy of rare earth elements.</t>
  </si>
  <si>
    <t>Y_out</t>
  </si>
  <si>
    <t>RE moles in oxide</t>
  </si>
  <si>
    <t>Oxgen moles in oxide</t>
  </si>
  <si>
    <t>Maximum</t>
  </si>
  <si>
    <t>GaBi 5 Import</t>
  </si>
  <si>
    <t>Data Summary page formatted for importation into the GaBi 5</t>
  </si>
  <si>
    <t xml:space="preserve">Sodium Chloride </t>
  </si>
  <si>
    <t xml:space="preserve">Calcium Oxide </t>
  </si>
  <si>
    <t>Sensible and latent heat energy information for rare earth elements.</t>
  </si>
  <si>
    <t>Rare Earth Elements: A Review of Production, Processing, Recycling, and Associated Environmental Issues</t>
  </si>
  <si>
    <t>EPA 600/R-12/572</t>
  </si>
  <si>
    <t>December</t>
  </si>
  <si>
    <t>www.epa.gov/ord</t>
  </si>
  <si>
    <t>May 9, 2014</t>
  </si>
  <si>
    <t>Cincinnati</t>
  </si>
  <si>
    <t>Office of Research and Development, EPA</t>
  </si>
  <si>
    <t>EPA. (2013). Rare Earth Elements: A Review of Production, Processing, Recycling, and Associated Environmental Issues. U.S. Environmental Protection Agency Office of Research and Development: Cincinnati. EPA 600/R-12/572. Accessed May 9, 2014 from http://nepis.epa.gov/Adobe/PDF/P100EUBC.pdf</t>
  </si>
  <si>
    <t>A lot of information of REE--chemical make up, processing, environmental issues.</t>
  </si>
  <si>
    <t>Reference [2,4]</t>
  </si>
  <si>
    <t>CeO2 + 2CaCl2 + 4 Na -&gt; 2 CaO + Ce + 4 NaCl</t>
  </si>
  <si>
    <t>Pr6O11 + 11 CaCl2 + 22 Na -&gt; 11 CaO + 6 Pr + 22 NaCl</t>
  </si>
  <si>
    <t>Tb4O7 + 7CaCl2 + 14 Na -&gt; 7 CaO + 4Tb + 14 NaCl</t>
  </si>
  <si>
    <t>mol/kg</t>
  </si>
  <si>
    <t>[kWh/kg] kWh energy required to reduce kg cerium for input</t>
  </si>
  <si>
    <t>[kWh/kg] kWh energy required to reduce kg lanthanum for input</t>
  </si>
  <si>
    <t>[kWh/kg] kWh energy required to reduce kg praesodymium for input</t>
  </si>
  <si>
    <t>[kWh/kg] kWh energy required to reduce kg neodymium for input</t>
  </si>
  <si>
    <t>[kWh/kg] kWh energy required to reduce kg samarium for input</t>
  </si>
  <si>
    <t>[kWh/kg] kWh energy required to reduce kg europium for input</t>
  </si>
  <si>
    <t>[kWh/kg] kWh energy required to reduce kg gadolium for input</t>
  </si>
  <si>
    <t>[kWh/kg] kWh energy required to reduce kg terbium for input</t>
  </si>
  <si>
    <t>[kWh/kg] kWh energy required to reduce kg dysprosium for input</t>
  </si>
  <si>
    <t>[kWh/kg] kWh energy required to reduce kg holium for input</t>
  </si>
  <si>
    <t>[kWh/kg] kWh energy required to reduce kg erbium for input</t>
  </si>
  <si>
    <t>[kWh/kg] kWh energy required to reduce kg thulium for input</t>
  </si>
  <si>
    <t>[kWh/kg] kWh energy required to reduce kg ytrium for input</t>
  </si>
  <si>
    <t>[kWh/kg] kWh energy required to reduce kg ytterbium for input</t>
  </si>
  <si>
    <t>[kWh/kg] kWh energy required to reduce kg lutetium for input</t>
  </si>
  <si>
    <t>[dimensionless] number of moles of oxygen in rare earth oxide</t>
  </si>
  <si>
    <t>[mol/kg] mol rare earth oxide per kg rare earth oxide</t>
  </si>
  <si>
    <t>Electricity</t>
  </si>
  <si>
    <t>Energy used for reduction process</t>
  </si>
  <si>
    <t>[kWh/kg] kWh energy required to reduce kg rare earth</t>
  </si>
  <si>
    <t>Total can be found by adding specific heat and heat for phase change per tonne Rare Earth Metal (REM)</t>
  </si>
  <si>
    <t>http://vector.umd.edu/links_files/Extractive%20Metallurgy%20of%20Rare%20Earths%20(Gupta).pdf</t>
  </si>
  <si>
    <t>ISBN 0-415-33340-7</t>
  </si>
  <si>
    <t>Gupta and Krishnamurthy (2005). Extractive Metallurgy of Rare Earths. Boca Raton, FL: CRC Press. Accessed June 3, 2014 from http://vector.umd.edu/links_files/Extractive%20Metallurgy%20of%20Rare%20Earths%20(Gupta).pdf</t>
  </si>
  <si>
    <t>http://download.springer.com/static/pdf/302/art%253A10.1007%252Fs11837-013-0719-8.pdf?auth66=1402756605_08c22ac3cb699ef813c16b06a856a0d7&amp;ext=.pdf</t>
  </si>
  <si>
    <r>
      <t xml:space="preserve">Piero, L., Menendez, G. (2013). Material and Energy Requirement for Rare Earth Production. </t>
    </r>
    <r>
      <rPr>
        <i/>
        <sz val="10"/>
        <rFont val="Arial"/>
        <family val="2"/>
      </rPr>
      <t>Journal of The Minerals, Metals &amp; Materials Society,</t>
    </r>
    <r>
      <rPr>
        <sz val="10"/>
        <rFont val="Arial"/>
        <family val="2"/>
      </rPr>
      <t xml:space="preserve"> 65(10), pp 1327-1340. Accessed June 6 from http://download.springer.com/static/pdf/302/art%253A10.1007%252Fs11837-013-0719-8.pdf?auth66=1402756605_08c22ac3cb699ef813c16b06a856a0d7&amp;ext=.pdf</t>
    </r>
  </si>
  <si>
    <t>Yield</t>
  </si>
  <si>
    <t>Mimimum</t>
  </si>
  <si>
    <t xml:space="preserve">Reference </t>
  </si>
  <si>
    <t>[1]</t>
  </si>
  <si>
    <t>recovery_rate</t>
  </si>
  <si>
    <t>[kg/kg] kg of rare earth metal recovered per rare earth oxide input</t>
  </si>
  <si>
    <t>This unit process provides a summary of relevant input and output flows associated with metallothermic reduction of a rare earth oxide (REO) to rare earth (RE) metal. The process uses platinum wares and a tantalum crucible in high temperatures (above 1800 degrees Celsius). Inputs include process heat, sodium, and calcium chloride. The output is a solid RE metal, sodium chloride (salt), and calcium oxide. The reference flow of this unit process is: 1 kg of RE metal.</t>
  </si>
  <si>
    <t>Metallothermic reduction of a rare earth oxide through calcium chloride and sodium.</t>
  </si>
  <si>
    <t>REO_req</t>
  </si>
  <si>
    <t>[kg/kg] kg of rare earth oxide in per kg of rare earth metal output</t>
  </si>
  <si>
    <t>kg CeO2</t>
  </si>
  <si>
    <t>mol CeO2</t>
  </si>
  <si>
    <t>REO_req/recovery_rate</t>
  </si>
  <si>
    <t>REO_in/CeO2_MW*Ce_out</t>
  </si>
  <si>
    <t>REO_in/La2O3_MW*La_out</t>
  </si>
  <si>
    <t>REO_in/Pr6O11_MW*Pr_out</t>
  </si>
  <si>
    <t>REO_in/Nd2O3_MW*Nd_out</t>
  </si>
  <si>
    <t>REO_in/Sm2O3_MW*Sm_out</t>
  </si>
  <si>
    <t>REO_in/Eu2O3_MW*Eu_out</t>
  </si>
  <si>
    <t>REO_in/Gd2O3_MW*Gd_out</t>
  </si>
  <si>
    <t>REO_in/Tb4O7_MW*Tb_out</t>
  </si>
  <si>
    <t>REO_in/Dy2O3_MW*Dy_out</t>
  </si>
  <si>
    <t>REO_in/Ho2O3_MW*Ho_out</t>
  </si>
  <si>
    <t>REO_in/Er2O3_MW*Er_out</t>
  </si>
  <si>
    <t>REO_in/Tm2O3_MW*Tm_out</t>
  </si>
  <si>
    <t>REO_in/Yb2O3_MW*Yb_out</t>
  </si>
  <si>
    <t>REO_in/Lu2O3_MW*Lu_out</t>
  </si>
  <si>
    <t>REO_in/Y2O3_MW*Y_out</t>
  </si>
  <si>
    <t>(Ce_out*CeO2_MW/Ce_MW/Ce_mol_in_ox+La_out*La2O3_MW/La_MW/La_mol_in_ox+Pr_out*Pr6O11_MW/Pr_MW/Pr_mol_in_ox+Nd_out*Nd2O3_MW/Nd_MW/Nd_mol_in_ox+Sm_out*Sm2O3_MW/Sm_MW/Sm_mol_in_ox+Eu_out*Eu2O3_MW/Eu_MW/Eu_mol_in_ox+Gd_out*Gd2O3_MW/Gd_MW/Gd_mol_in_ox+Tb_out*Tb4O7_MW/Tb_MW/Tb_mol_in_ox+Dy_out*Dy2O3_MW/Dy_MW/Dy_mol_in_ox+Ho_out*Ho2O3_MW/Ho_MW/Ho_mol_in_ox+Er_out*Er2O3_MW/Er_MW/Er_mol_in_ox+Tm_out*Tm2O3_MW/Tm_MW/Tm_mol_in_ox+Yb_out*Yb2O3_MW/Yb_MW/Yb_mol_in_ox+Lu_out*Lu2O3_MW/Lu_MW/Lu_mol_in_ox+Y_out*Y2O3_MW/Y_MW/Y_mol_in_ox)</t>
  </si>
  <si>
    <t>Ce_out*NRG_Ce+La_out*NRG_La+Pr_out*NRG_Pr+Nd_out*NRG_Nd+Sm_out*NRG_Sm+Eu_out*NRG_Eu+Gd_out*NRG_Gd+Tb_out*NRG_Tb+Dy_out*NRG_Dy+Ho_out*NRG_Ho+Er_out*NRG_Er+Tm_out*NRG_Tm+Yb_out*NRG_Yb+Lu_out*NRG_Lu+Y_out*NRG_Y</t>
  </si>
  <si>
    <t>This unit process is composed of this document and the file, Copy of DF_Stage1_O_Metallothermic_Red_REO_2014_01.docx, which provides additional details regarding calculations, data quality, and references as relevant.</t>
  </si>
  <si>
    <t>g element in oxide</t>
  </si>
  <si>
    <t>kJ</t>
  </si>
  <si>
    <t>mol</t>
  </si>
  <si>
    <t>[mol] number of moles of rare earth metal in rare earth oxide</t>
  </si>
  <si>
    <t>kg RE/kg REO</t>
  </si>
  <si>
    <t>[mol] number of moles of oxygen in rare earth oxide</t>
  </si>
  <si>
    <t>[kg/kg] kg of sodium per kg of concentrate input; equation multiplied by 2 (2 moles of Na in reaction) and 0.022999 (molar mas of Na)</t>
  </si>
  <si>
    <t>[kg/kg] kg of calcium chloride per kg of concentrate input; multiplied by 0.110984 (molar mass of CaCl2)</t>
  </si>
  <si>
    <t>[kg/kg] kg of calcium oxide per kg of concentrate created; multiplied by 0.056077 (molar mass of CaO)</t>
  </si>
  <si>
    <t>[kg/kg] kg of sodium chloride per kg of concentrate created; multiplied by 2 (2 moles NaCl in reaction) and 0.058452 (molar mass of NaCl)</t>
  </si>
  <si>
    <t>binary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</si>
</sst>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1" formatCode="_(* #,##0_);_(* \(#,##0\);_(* &quot;-&quot;_);_(@_)"/>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6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0"/>
      <color theme="1"/>
      <name val="Trebuchet MS"/>
      <family val="2"/>
    </font>
    <font>
      <b/>
      <sz val="10"/>
      <color theme="1"/>
      <name val="Calibri"/>
      <family val="2"/>
      <scheme val="minor"/>
    </font>
    <font>
      <sz val="8"/>
      <name val="Times"/>
      <family val="1"/>
    </font>
    <font>
      <sz val="10"/>
      <name val="Arial"/>
      <family val="2"/>
    </font>
    <font>
      <sz val="11"/>
      <color theme="1"/>
      <name val="Arial"/>
      <family val="2"/>
    </font>
    <font>
      <sz val="12"/>
      <color theme="1"/>
      <name val="Arial"/>
      <family val="2"/>
    </font>
    <font>
      <vertAlign val="subscript"/>
      <sz val="12"/>
      <color theme="1"/>
      <name val="Arial"/>
      <family val="2"/>
    </font>
    <font>
      <i/>
      <sz val="12"/>
      <color theme="1"/>
      <name val="Bradley Hand ITC"/>
      <family val="4"/>
    </font>
    <font>
      <b/>
      <vertAlign val="subscript"/>
      <sz val="12"/>
      <name val="Arial"/>
      <family val="2"/>
    </font>
    <font>
      <vertAlign val="subscript"/>
      <sz val="11"/>
      <color theme="1"/>
      <name val="Calibri"/>
      <family val="2"/>
      <scheme val="minor"/>
    </font>
    <font>
      <sz val="11"/>
      <color rgb="FF000000"/>
      <name val="Calibri"/>
      <family val="2"/>
      <scheme val="minor"/>
    </font>
    <font>
      <b/>
      <sz val="12"/>
      <color theme="1"/>
      <name val="Arial"/>
      <family val="2"/>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s>
  <cellStyleXfs count="106">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4" applyNumberFormat="0" applyAlignment="0" applyProtection="0"/>
    <xf numFmtId="0" fontId="35"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6"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4" applyNumberFormat="0" applyAlignment="0" applyProtection="0"/>
    <xf numFmtId="0" fontId="43" fillId="0" borderId="49" applyNumberFormat="0" applyFill="0" applyAlignment="0" applyProtection="0"/>
    <xf numFmtId="0" fontId="44"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5"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5"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3" fillId="0" borderId="0"/>
    <xf numFmtId="41" fontId="4" fillId="0" borderId="0" applyFont="0" applyFill="0" applyBorder="0" applyAlignment="0" applyProtection="0"/>
    <xf numFmtId="41" fontId="54" fillId="0" borderId="0" applyFont="0" applyFill="0" applyBorder="0" applyAlignment="0" applyProtection="0"/>
    <xf numFmtId="43" fontId="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54" fillId="0" borderId="0"/>
    <xf numFmtId="9" fontId="1" fillId="0" borderId="0" applyFont="0" applyFill="0" applyBorder="0" applyAlignment="0" applyProtection="0"/>
  </cellStyleXfs>
  <cellXfs count="45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15" fillId="0" borderId="9"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0" borderId="0" xfId="0" applyFont="1" applyBorder="1"/>
    <xf numFmtId="0" fontId="17" fillId="0" borderId="23" xfId="2" applyFont="1" applyFill="1" applyBorder="1" applyAlignment="1">
      <alignment horizontal="center"/>
    </xf>
    <xf numFmtId="0" fontId="0" fillId="0" borderId="23" xfId="0" applyBorder="1"/>
    <xf numFmtId="0" fontId="15" fillId="0" borderId="23" xfId="0" applyFont="1" applyBorder="1"/>
    <xf numFmtId="0" fontId="29" fillId="0" borderId="9" xfId="2" applyFont="1" applyFill="1" applyBorder="1"/>
    <xf numFmtId="0" fontId="30" fillId="0" borderId="9" xfId="2" applyFont="1" applyFill="1" applyBorder="1"/>
    <xf numFmtId="0" fontId="30" fillId="0" borderId="25" xfId="2" applyFont="1" applyFill="1" applyBorder="1"/>
    <xf numFmtId="0" fontId="29" fillId="0" borderId="24" xfId="2" applyFont="1" applyFill="1" applyBorder="1"/>
    <xf numFmtId="0" fontId="11" fillId="0" borderId="0" xfId="2" applyFont="1" applyAlignment="1"/>
    <xf numFmtId="1" fontId="4" fillId="0" borderId="16" xfId="2" applyNumberFormat="1" applyBorder="1" applyAlignment="1" applyProtection="1">
      <alignment vertical="top"/>
      <protection locked="0"/>
    </xf>
    <xf numFmtId="0" fontId="15" fillId="6" borderId="9" xfId="2" applyFont="1" applyFill="1" applyBorder="1" applyAlignment="1"/>
    <xf numFmtId="0" fontId="15" fillId="0" borderId="9" xfId="2" applyFont="1" applyFill="1" applyBorder="1" applyAlignment="1"/>
    <xf numFmtId="0" fontId="30" fillId="0" borderId="0" xfId="0" applyFont="1" applyFill="1" applyBorder="1"/>
    <xf numFmtId="0" fontId="4" fillId="5" borderId="9" xfId="2" applyFont="1" applyFill="1" applyBorder="1" applyAlignment="1">
      <alignment horizontal="left" vertical="center" wrapText="1"/>
    </xf>
    <xf numFmtId="0" fontId="4" fillId="0" borderId="16" xfId="2" applyFill="1" applyBorder="1" applyAlignment="1" applyProtection="1">
      <alignment horizontal="right" vertical="top" wrapText="1"/>
      <protection locked="0"/>
    </xf>
    <xf numFmtId="0" fontId="0" fillId="6" borderId="0" xfId="0" applyFill="1"/>
    <xf numFmtId="0" fontId="4" fillId="0" borderId="16" xfId="2" applyFont="1" applyBorder="1" applyAlignment="1">
      <alignment horizontal="center"/>
    </xf>
    <xf numFmtId="0" fontId="4" fillId="0" borderId="16" xfId="2" applyBorder="1" applyAlignment="1">
      <alignment horizontal="center"/>
    </xf>
    <xf numFmtId="11" fontId="15" fillId="10" borderId="16" xfId="0" applyNumberFormat="1" applyFont="1" applyFill="1" applyBorder="1" applyAlignment="1" applyProtection="1">
      <alignment vertical="top"/>
      <protection hidden="1"/>
    </xf>
    <xf numFmtId="0" fontId="30" fillId="0" borderId="16" xfId="0" applyFont="1" applyBorder="1" applyAlignment="1">
      <alignment horizontal="center" vertical="center"/>
    </xf>
    <xf numFmtId="0" fontId="30" fillId="0" borderId="16" xfId="0" applyFont="1" applyBorder="1" applyAlignment="1">
      <alignment horizontal="center"/>
    </xf>
    <xf numFmtId="0" fontId="15" fillId="0" borderId="0" xfId="2" applyFont="1" applyFill="1" applyBorder="1"/>
    <xf numFmtId="0" fontId="15" fillId="6" borderId="20" xfId="2" applyFont="1" applyFill="1" applyBorder="1" applyAlignment="1"/>
    <xf numFmtId="0" fontId="30" fillId="0" borderId="20" xfId="2" applyFont="1" applyFill="1" applyBorder="1"/>
    <xf numFmtId="0" fontId="4" fillId="0" borderId="0" xfId="98" applyFont="1" applyBorder="1" applyAlignment="1" applyProtection="1">
      <alignment vertical="center"/>
      <protection locked="0"/>
    </xf>
    <xf numFmtId="0" fontId="15" fillId="0" borderId="20" xfId="0" applyFont="1" applyBorder="1"/>
    <xf numFmtId="0" fontId="22" fillId="0" borderId="0" xfId="3" applyFill="1" applyAlignment="1" applyProtection="1">
      <alignment horizontal="left" vertical="top" wrapText="1"/>
      <protection locked="0"/>
    </xf>
    <xf numFmtId="0" fontId="15" fillId="0" borderId="0" xfId="0" applyFont="1" applyFill="1" applyBorder="1"/>
    <xf numFmtId="0" fontId="0" fillId="0" borderId="0" xfId="0" applyFill="1"/>
    <xf numFmtId="0" fontId="15" fillId="0" borderId="0" xfId="0" applyFont="1" applyFill="1"/>
    <xf numFmtId="9" fontId="0" fillId="0" borderId="0" xfId="0" applyNumberFormat="1"/>
    <xf numFmtId="0" fontId="4" fillId="0" borderId="0" xfId="98" applyFont="1" applyFill="1" applyBorder="1" applyAlignment="1" applyProtection="1">
      <alignment vertical="center"/>
      <protection locked="0"/>
    </xf>
    <xf numFmtId="0" fontId="30" fillId="41" borderId="0" xfId="0" applyFont="1" applyFill="1"/>
    <xf numFmtId="0" fontId="30" fillId="41" borderId="0" xfId="0" applyFont="1" applyFill="1" applyAlignment="1">
      <alignment horizontal="center" wrapText="1"/>
    </xf>
    <xf numFmtId="0" fontId="15" fillId="6" borderId="0" xfId="2" applyFont="1" applyFill="1" applyBorder="1" applyAlignment="1"/>
    <xf numFmtId="0" fontId="30" fillId="0" borderId="0" xfId="2" applyFont="1" applyFill="1" applyBorder="1"/>
    <xf numFmtId="0" fontId="0" fillId="0" borderId="0" xfId="0" applyBorder="1"/>
    <xf numFmtId="0" fontId="15" fillId="0" borderId="0" xfId="2" applyFont="1" applyFill="1" applyBorder="1" applyAlignment="1"/>
    <xf numFmtId="0" fontId="30" fillId="0" borderId="23" xfId="2" applyFont="1" applyFill="1" applyBorder="1"/>
    <xf numFmtId="0" fontId="29" fillId="0" borderId="0" xfId="2" applyFont="1" applyFill="1" applyBorder="1"/>
    <xf numFmtId="0" fontId="0" fillId="0" borderId="0" xfId="0" applyFill="1" applyBorder="1"/>
    <xf numFmtId="0" fontId="55" fillId="0" borderId="0" xfId="0" applyFont="1"/>
    <xf numFmtId="0" fontId="0" fillId="0" borderId="20" xfId="0" applyBorder="1"/>
    <xf numFmtId="0" fontId="30" fillId="0" borderId="16" xfId="0" applyFont="1" applyBorder="1" applyAlignment="1">
      <alignment horizontal="center" vertical="center" wrapText="1"/>
    </xf>
    <xf numFmtId="0" fontId="15" fillId="6" borderId="0" xfId="0" applyFont="1" applyFill="1"/>
    <xf numFmtId="0" fontId="30" fillId="0" borderId="16" xfId="0" applyFont="1" applyFill="1" applyBorder="1" applyAlignment="1">
      <alignment horizontal="center" vertical="center" wrapText="1"/>
    </xf>
    <xf numFmtId="2" fontId="52" fillId="0" borderId="16" xfId="0" applyNumberFormat="1" applyFont="1" applyFill="1" applyBorder="1"/>
    <xf numFmtId="0" fontId="6" fillId="0" borderId="0" xfId="98" applyFont="1" applyBorder="1" applyAlignment="1" applyProtection="1">
      <alignment vertical="center"/>
      <protection locked="0"/>
    </xf>
    <xf numFmtId="0" fontId="0" fillId="0" borderId="0" xfId="0" applyAlignment="1">
      <alignment wrapText="1"/>
    </xf>
    <xf numFmtId="0" fontId="15" fillId="0" borderId="16" xfId="0" applyFont="1" applyBorder="1" applyAlignment="1">
      <alignment horizontal="center" vertical="center" wrapText="1"/>
    </xf>
    <xf numFmtId="0" fontId="12" fillId="0" borderId="16" xfId="0" applyFont="1" applyBorder="1" applyAlignment="1">
      <alignment horizontal="center" vertical="center"/>
    </xf>
    <xf numFmtId="0" fontId="15" fillId="0" borderId="0" xfId="0" applyFont="1" applyAlignment="1"/>
    <xf numFmtId="0" fontId="56" fillId="0" borderId="0" xfId="0" applyFont="1" applyAlignment="1"/>
    <xf numFmtId="0" fontId="56" fillId="0" borderId="0" xfId="0" applyFont="1"/>
    <xf numFmtId="0" fontId="58" fillId="0" borderId="0" xfId="0" applyFont="1"/>
    <xf numFmtId="0" fontId="30" fillId="0" borderId="1" xfId="0" applyFont="1" applyBorder="1" applyAlignment="1">
      <alignment horizontal="center" vertical="center" wrapText="1"/>
    </xf>
    <xf numFmtId="0" fontId="30" fillId="0" borderId="16" xfId="0" applyFont="1" applyBorder="1" applyAlignment="1">
      <alignment vertical="center"/>
    </xf>
    <xf numFmtId="0" fontId="22" fillId="0" borderId="0" xfId="3" applyBorder="1" applyAlignment="1" applyProtection="1"/>
    <xf numFmtId="0" fontId="12" fillId="0" borderId="16" xfId="0" applyFont="1" applyFill="1" applyBorder="1" applyAlignment="1">
      <alignment horizontal="center" vertical="center"/>
    </xf>
    <xf numFmtId="0" fontId="15" fillId="0" borderId="22" xfId="0" applyFont="1" applyFill="1" applyBorder="1"/>
    <xf numFmtId="0" fontId="12" fillId="0" borderId="18" xfId="0" applyFont="1" applyFill="1" applyBorder="1" applyAlignment="1">
      <alignment horizontal="center" vertical="center"/>
    </xf>
    <xf numFmtId="0" fontId="46" fillId="0" borderId="0" xfId="98" applyFont="1" applyBorder="1" applyAlignment="1" applyProtection="1">
      <alignment vertical="center"/>
      <protection locked="0"/>
    </xf>
    <xf numFmtId="0" fontId="15" fillId="0" borderId="23" xfId="0" applyFont="1" applyFill="1" applyBorder="1"/>
    <xf numFmtId="0" fontId="0" fillId="0" borderId="23" xfId="0" applyFill="1" applyBorder="1"/>
    <xf numFmtId="11" fontId="15" fillId="0" borderId="16" xfId="0" applyNumberFormat="1" applyFont="1" applyBorder="1" applyAlignment="1">
      <alignment horizontal="center" vertical="center"/>
    </xf>
    <xf numFmtId="0" fontId="30" fillId="0" borderId="0" xfId="0" applyFont="1" applyAlignment="1">
      <alignment horizontal="center" vertical="center"/>
    </xf>
    <xf numFmtId="0" fontId="15" fillId="6" borderId="0" xfId="0" applyFont="1" applyFill="1" applyBorder="1"/>
    <xf numFmtId="0" fontId="0" fillId="0" borderId="16" xfId="0" applyBorder="1"/>
    <xf numFmtId="0" fontId="0" fillId="0" borderId="16" xfId="0" applyBorder="1" applyAlignment="1">
      <alignment horizontal="right" vertical="center"/>
    </xf>
    <xf numFmtId="0" fontId="0" fillId="0" borderId="16" xfId="0" applyBorder="1" applyAlignment="1">
      <alignment horizontal="right"/>
    </xf>
    <xf numFmtId="0" fontId="61" fillId="0" borderId="0" xfId="0" applyFont="1"/>
    <xf numFmtId="0" fontId="3" fillId="0" borderId="16" xfId="0" applyFont="1" applyBorder="1"/>
    <xf numFmtId="0" fontId="30" fillId="0" borderId="16" xfId="0" applyFont="1" applyBorder="1"/>
    <xf numFmtId="0" fontId="0" fillId="0" borderId="16" xfId="0" applyBorder="1" applyAlignment="1">
      <alignment horizontal="center"/>
    </xf>
    <xf numFmtId="0" fontId="30" fillId="41" borderId="0" xfId="0" applyFont="1" applyFill="1" applyBorder="1" applyAlignment="1">
      <alignment horizontal="center" wrapText="1"/>
    </xf>
    <xf numFmtId="11" fontId="0" fillId="0" borderId="0" xfId="0" applyNumberFormat="1"/>
    <xf numFmtId="165" fontId="0" fillId="0" borderId="16" xfId="0" applyNumberFormat="1" applyBorder="1"/>
    <xf numFmtId="0" fontId="4" fillId="0" borderId="2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0" xfId="2" applyBorder="1"/>
    <xf numFmtId="0" fontId="4" fillId="5" borderId="57" xfId="2" applyFont="1" applyFill="1" applyBorder="1" applyAlignment="1">
      <alignment horizontal="left" vertical="center" wrapText="1"/>
    </xf>
    <xf numFmtId="0" fontId="0" fillId="0" borderId="0" xfId="0" applyBorder="1" applyAlignment="1">
      <alignment vertical="center"/>
    </xf>
    <xf numFmtId="0" fontId="0" fillId="0" borderId="0" xfId="0" applyFont="1" applyBorder="1" applyAlignment="1">
      <alignment vertical="center"/>
    </xf>
    <xf numFmtId="0" fontId="0" fillId="0" borderId="16" xfId="0" applyBorder="1" applyAlignment="1">
      <alignment wrapText="1"/>
    </xf>
    <xf numFmtId="164" fontId="0" fillId="6" borderId="16" xfId="0" applyNumberFormat="1" applyFill="1" applyBorder="1"/>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6" borderId="34" xfId="2" applyFont="1" applyFill="1" applyBorder="1" applyAlignment="1">
      <alignment horizontal="right" wrapText="1"/>
    </xf>
    <xf numFmtId="0" fontId="3" fillId="0" borderId="16" xfId="0" applyFont="1" applyBorder="1" applyAlignment="1">
      <alignment horizontal="center" vertical="center"/>
    </xf>
    <xf numFmtId="49" fontId="22" fillId="13" borderId="0" xfId="3" applyNumberFormat="1" applyFill="1" applyAlignment="1" applyProtection="1">
      <alignment vertical="top" wrapText="1"/>
      <protection locked="0"/>
    </xf>
    <xf numFmtId="49" fontId="22" fillId="0" borderId="0" xfId="3" applyNumberFormat="1" applyFill="1" applyAlignment="1" applyProtection="1">
      <alignment vertical="top" wrapText="1"/>
      <protection locked="0"/>
    </xf>
    <xf numFmtId="0" fontId="62" fillId="0" borderId="0" xfId="2" applyFont="1" applyFill="1" applyBorder="1" applyAlignment="1">
      <alignment horizontal="left"/>
    </xf>
    <xf numFmtId="0" fontId="56" fillId="0" borderId="0" xfId="2" applyFont="1" applyFill="1" applyBorder="1" applyAlignment="1">
      <alignment horizontal="left"/>
    </xf>
    <xf numFmtId="0" fontId="3" fillId="0" borderId="0" xfId="0" applyFont="1" applyFill="1" applyBorder="1"/>
    <xf numFmtId="2" fontId="3" fillId="0" borderId="0" xfId="105" applyNumberFormat="1" applyFont="1" applyFill="1" applyBorder="1"/>
    <xf numFmtId="0" fontId="0" fillId="0" borderId="16" xfId="0" applyFont="1" applyBorder="1"/>
    <xf numFmtId="0" fontId="0" fillId="0" borderId="16" xfId="0" applyFont="1" applyFill="1" applyBorder="1"/>
    <xf numFmtId="165" fontId="15" fillId="10" borderId="16" xfId="1" applyNumberFormat="1" applyFont="1" applyFill="1" applyBorder="1" applyAlignment="1" applyProtection="1">
      <alignment vertical="top"/>
      <protection hidden="1"/>
    </xf>
    <xf numFmtId="0" fontId="15" fillId="0" borderId="16" xfId="0" applyFont="1" applyBorder="1" applyAlignment="1">
      <alignment horizontal="center"/>
    </xf>
    <xf numFmtId="2" fontId="15" fillId="6" borderId="16" xfId="105" applyNumberFormat="1" applyFont="1" applyFill="1" applyBorder="1"/>
    <xf numFmtId="2" fontId="0" fillId="6" borderId="16" xfId="105" applyNumberFormat="1" applyFont="1" applyFill="1" applyBorder="1"/>
    <xf numFmtId="2" fontId="0" fillId="0" borderId="16" xfId="0" applyNumberFormat="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15" fillId="0" borderId="16" xfId="2" applyFont="1"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6" xfId="2" applyBorder="1" applyAlignment="1" applyProtection="1">
      <alignment horizontal="left"/>
      <protection locked="0"/>
    </xf>
    <xf numFmtId="0" fontId="15" fillId="8" borderId="22" xfId="0" applyFont="1" applyFill="1" applyBorder="1" applyAlignment="1">
      <alignment horizontal="left" vertical="top" wrapText="1" readingOrder="1"/>
    </xf>
    <xf numFmtId="0" fontId="15" fillId="8" borderId="0" xfId="0" applyFont="1" applyFill="1" applyBorder="1" applyAlignment="1">
      <alignment horizontal="left" vertical="top" wrapText="1" readingOrder="1"/>
    </xf>
    <xf numFmtId="0" fontId="15"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30" fillId="0" borderId="1" xfId="0" applyFont="1" applyBorder="1" applyAlignment="1">
      <alignment horizontal="center" vertical="center"/>
    </xf>
    <xf numFmtId="0" fontId="30" fillId="0" borderId="17" xfId="0" applyFont="1" applyBorder="1" applyAlignment="1">
      <alignment horizontal="center" vertical="center"/>
    </xf>
    <xf numFmtId="0" fontId="51" fillId="0" borderId="18" xfId="0" applyFont="1" applyBorder="1" applyAlignment="1">
      <alignment horizontal="center" vertical="center" wrapText="1"/>
    </xf>
    <xf numFmtId="0" fontId="51" fillId="0" borderId="56" xfId="0" applyFont="1" applyBorder="1" applyAlignment="1">
      <alignment horizontal="center" vertical="center" wrapText="1"/>
    </xf>
    <xf numFmtId="0" fontId="6" fillId="0" borderId="9" xfId="2" applyFont="1" applyBorder="1" applyAlignment="1">
      <alignment horizontal="center"/>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6">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0] 2" xfId="99"/>
    <cellStyle name="Comma [0] 3" xfId="100"/>
    <cellStyle name="Comma 2" xfId="43"/>
    <cellStyle name="Comma 3" xfId="101"/>
    <cellStyle name="Comma 4" xfId="102"/>
    <cellStyle name="Comma 5" xfId="10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3 2" xfId="104"/>
    <cellStyle name="Normal 4" xfId="98"/>
    <cellStyle name="Note 2" xfId="58"/>
    <cellStyle name="Note 2 2" xfId="59"/>
    <cellStyle name="Output 2" xfId="60"/>
    <cellStyle name="Percent" xfId="105"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523874</xdr:colOff>
      <xdr:row>1</xdr:row>
      <xdr:rowOff>69087</xdr:rowOff>
    </xdr:from>
    <xdr:to>
      <xdr:col>14</xdr:col>
      <xdr:colOff>476250</xdr:colOff>
      <xdr:row>21</xdr:row>
      <xdr:rowOff>133839</xdr:rowOff>
    </xdr:to>
    <xdr:grpSp>
      <xdr:nvGrpSpPr>
        <xdr:cNvPr id="13" name="Group 12"/>
        <xdr:cNvGrpSpPr/>
      </xdr:nvGrpSpPr>
      <xdr:grpSpPr>
        <a:xfrm>
          <a:off x="1743074" y="259587"/>
          <a:ext cx="7267576" cy="3874752"/>
          <a:chOff x="1743074" y="259587"/>
          <a:chExt cx="7267576" cy="3874752"/>
        </a:xfrm>
      </xdr:grpSpPr>
      <xdr:grpSp>
        <xdr:nvGrpSpPr>
          <xdr:cNvPr id="31" name="Legend"/>
          <xdr:cNvGrpSpPr/>
        </xdr:nvGrpSpPr>
        <xdr:grpSpPr>
          <a:xfrm>
            <a:off x="2228850" y="3362324"/>
            <a:ext cx="1936223" cy="752475"/>
            <a:chOff x="7457181" y="3134295"/>
            <a:chExt cx="1953912" cy="753022"/>
          </a:xfrm>
        </xdr:grpSpPr>
        <xdr:sp macro="" textlink="">
          <xdr:nvSpPr>
            <xdr:cNvPr id="32"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33"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34" name="TextBox 33"/>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35" name="TextBox 34"/>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36" name="TextBox 35"/>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39"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Metal</a:t>
            </a:r>
            <a:endParaRPr lang="en-US" sz="1000" baseline="0">
              <a:solidFill>
                <a:schemeClr val="tx1"/>
              </a:solidFill>
              <a:latin typeface="Arial" pitchFamily="34" charset="0"/>
              <a:cs typeface="Arial" pitchFamily="34" charset="0"/>
            </a:endParaRPr>
          </a:p>
        </xdr:txBody>
      </xdr:sp>
      <xdr:cxnSp macro="">
        <xdr:nvCxnSpPr>
          <xdr:cNvPr id="40" name="Straight Arrow Connector Process"/>
          <xdr:cNvCxnSpPr>
            <a:stCxn id="38" idx="2"/>
            <a:endCxn id="39"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2" name="Reference Flow 1"/>
          <xdr:cNvSpPr/>
        </xdr:nvSpPr>
        <xdr:spPr>
          <a:xfrm>
            <a:off x="7658100" y="743014"/>
            <a:ext cx="1343025" cy="53174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Sodium Chloride </a:t>
            </a:r>
            <a:endParaRPr lang="en-US" sz="1000" baseline="0">
              <a:solidFill>
                <a:schemeClr val="tx1"/>
              </a:solidFill>
              <a:latin typeface="Arial" pitchFamily="34" charset="0"/>
              <a:cs typeface="Arial" pitchFamily="34" charset="0"/>
            </a:endParaRPr>
          </a:p>
        </xdr:txBody>
      </xdr:sp>
      <xdr:cxnSp macro="">
        <xdr:nvCxnSpPr>
          <xdr:cNvPr id="43" name="Connector Ref 1"/>
          <xdr:cNvCxnSpPr>
            <a:stCxn id="2" idx="3"/>
            <a:endCxn id="42" idx="1"/>
          </xdr:cNvCxnSpPr>
        </xdr:nvCxnSpPr>
        <xdr:spPr>
          <a:xfrm>
            <a:off x="7232650" y="1008888"/>
            <a:ext cx="425450"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5" name="Reference Flow 2"/>
          <xdr:cNvSpPr/>
        </xdr:nvSpPr>
        <xdr:spPr>
          <a:xfrm>
            <a:off x="7654925" y="2136013"/>
            <a:ext cx="1355725" cy="562102"/>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Calcium Oxide </a:t>
            </a:r>
            <a:endParaRPr lang="en-US" sz="1000" baseline="0">
              <a:solidFill>
                <a:schemeClr val="tx1"/>
              </a:solidFill>
              <a:latin typeface="Arial" pitchFamily="34" charset="0"/>
              <a:cs typeface="Arial" pitchFamily="34" charset="0"/>
            </a:endParaRPr>
          </a:p>
        </xdr:txBody>
      </xdr:sp>
      <xdr:cxnSp macro="">
        <xdr:nvCxnSpPr>
          <xdr:cNvPr id="46" name="Connector Ref 2"/>
          <xdr:cNvCxnSpPr>
            <a:stCxn id="3" idx="1"/>
            <a:endCxn id="45" idx="1"/>
          </xdr:cNvCxnSpPr>
        </xdr:nvCxnSpPr>
        <xdr:spPr>
          <a:xfrm>
            <a:off x="7219950" y="2417064"/>
            <a:ext cx="4349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8" name="Upstream Emssion Data 1"/>
          <xdr:cNvSpPr/>
        </xdr:nvSpPr>
        <xdr:spPr>
          <a:xfrm>
            <a:off x="1817687" y="1079945"/>
            <a:ext cx="1244749" cy="56197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cxnSp macro="">
        <xdr:nvCxnSpPr>
          <xdr:cNvPr id="49" name="Straight Arrow Connector 1"/>
          <xdr:cNvCxnSpPr>
            <a:stCxn id="48" idx="2"/>
            <a:endCxn id="5" idx="1"/>
          </xdr:cNvCxnSpPr>
        </xdr:nvCxnSpPr>
        <xdr:spPr>
          <a:xfrm flipV="1">
            <a:off x="2916994" y="1360932"/>
            <a:ext cx="63900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1" name="Upstream Emssion Data 2"/>
          <xdr:cNvSpPr/>
        </xdr:nvSpPr>
        <xdr:spPr>
          <a:xfrm>
            <a:off x="1743074" y="290194"/>
            <a:ext cx="1393974" cy="64287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Oxide</a:t>
            </a:r>
          </a:p>
        </xdr:txBody>
      </xdr:sp>
      <xdr:cxnSp macro="">
        <xdr:nvCxnSpPr>
          <xdr:cNvPr id="52" name="Straight Arrow Connector 2"/>
          <xdr:cNvCxnSpPr>
            <a:stCxn id="51" idx="2"/>
            <a:endCxn id="4" idx="1"/>
          </xdr:cNvCxnSpPr>
        </xdr:nvCxnSpPr>
        <xdr:spPr>
          <a:xfrm flipV="1">
            <a:off x="2970669" y="611631"/>
            <a:ext cx="585331"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4" name="Upstream Emssion Data 3"/>
          <xdr:cNvSpPr/>
        </xdr:nvSpPr>
        <xdr:spPr>
          <a:xfrm>
            <a:off x="1827212" y="1794764"/>
            <a:ext cx="1225699" cy="538861"/>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Sodium</a:t>
            </a:r>
          </a:p>
        </xdr:txBody>
      </xdr:sp>
      <xdr:cxnSp macro="">
        <xdr:nvCxnSpPr>
          <xdr:cNvPr id="55" name="Straight Arrow Connector 3"/>
          <xdr:cNvCxnSpPr>
            <a:stCxn id="54" idx="2"/>
            <a:endCxn id="6" idx="1"/>
          </xdr:cNvCxnSpPr>
        </xdr:nvCxnSpPr>
        <xdr:spPr>
          <a:xfrm>
            <a:off x="2913451" y="2064195"/>
            <a:ext cx="642549" cy="825"/>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7"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endParaRPr lang="en-US" sz="1200" baseline="0">
              <a:solidFill>
                <a:sysClr val="windowText" lastClr="000000"/>
              </a:solidFill>
              <a:effectLst/>
              <a:latin typeface="Arial" pitchFamily="34" charset="0"/>
              <a:ea typeface="+mn-ea"/>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Metallothermic Reduction of Rare Earth Oxides: System Boundary</a:t>
            </a:r>
          </a:p>
        </xdr:txBody>
      </xdr:sp>
      <xdr:sp macro="" textlink="">
        <xdr:nvSpPr>
          <xdr:cNvPr id="38"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Metallothermic reduction of a rare earth oxide through calcium chloride and sodium.</a:t>
            </a:r>
          </a:p>
        </xdr:txBody>
      </xdr:sp>
      <xdr:sp macro="" textlink="">
        <xdr:nvSpPr>
          <xdr:cNvPr id="2" name="LinkRef 1"/>
          <xdr:cNvSpPr/>
        </xdr:nvSpPr>
        <xdr:spPr>
          <a:xfrm>
            <a:off x="7219950" y="304800"/>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LinkRef 2"/>
          <xdr:cNvSpPr/>
        </xdr:nvSpPr>
        <xdr:spPr>
          <a:xfrm>
            <a:off x="7219950" y="1712976"/>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Link 1"/>
          <xdr:cNvSpPr/>
        </xdr:nvSpPr>
        <xdr:spPr>
          <a:xfrm>
            <a:off x="3556000" y="259587"/>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Link 2"/>
          <xdr:cNvSpPr/>
        </xdr:nvSpPr>
        <xdr:spPr>
          <a:xfrm>
            <a:off x="3556000" y="1008888"/>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Link 3"/>
          <xdr:cNvSpPr/>
        </xdr:nvSpPr>
        <xdr:spPr>
          <a:xfrm>
            <a:off x="3556000" y="1712976"/>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Link 4"/>
          <xdr:cNvSpPr/>
        </xdr:nvSpPr>
        <xdr:spPr>
          <a:xfrm>
            <a:off x="3556000" y="2417064"/>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7" name="Upstream Emssion Data 4"/>
          <xdr:cNvSpPr/>
        </xdr:nvSpPr>
        <xdr:spPr>
          <a:xfrm>
            <a:off x="1762124" y="2456434"/>
            <a:ext cx="1470174" cy="625349"/>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Calcium Chloride</a:t>
            </a:r>
          </a:p>
        </xdr:txBody>
      </xdr:sp>
      <xdr:cxnSp macro="">
        <xdr:nvCxnSpPr>
          <xdr:cNvPr id="58" name="Straight Arrow Connector 4"/>
          <xdr:cNvCxnSpPr/>
        </xdr:nvCxnSpPr>
        <xdr:spPr>
          <a:xfrm flipV="1">
            <a:off x="3051406" y="2807208"/>
            <a:ext cx="504594"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vector.umd.edu/links_files/Extractive%20Metallurgy%20of%20Rare%20Earths%20(Gupta).pdf" TargetMode="External"/><Relationship Id="rId1" Type="http://schemas.openxmlformats.org/officeDocument/2006/relationships/hyperlink" Target="http://www.epa.gov/or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7"/>
  <sheetViews>
    <sheetView workbookViewId="0">
      <selection activeCell="P4" sqref="P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43" t="s">
        <v>0</v>
      </c>
      <c r="B1" s="343"/>
      <c r="C1" s="343"/>
      <c r="D1" s="343"/>
      <c r="E1" s="343"/>
      <c r="F1" s="343"/>
      <c r="G1" s="343"/>
      <c r="H1" s="343"/>
      <c r="I1" s="343"/>
      <c r="J1" s="343"/>
      <c r="K1" s="343"/>
      <c r="L1" s="343"/>
      <c r="M1" s="343"/>
      <c r="N1" s="343"/>
      <c r="O1" s="1"/>
    </row>
    <row r="2" spans="1:27" ht="21" thickBot="1" x14ac:dyDescent="0.35">
      <c r="A2" s="343" t="s">
        <v>1</v>
      </c>
      <c r="B2" s="343"/>
      <c r="C2" s="343"/>
      <c r="D2" s="343"/>
      <c r="E2" s="343"/>
      <c r="F2" s="343"/>
      <c r="G2" s="343"/>
      <c r="H2" s="343"/>
      <c r="I2" s="343"/>
      <c r="J2" s="343"/>
      <c r="K2" s="343"/>
      <c r="L2" s="343"/>
      <c r="M2" s="343"/>
      <c r="N2" s="343"/>
      <c r="O2" s="1"/>
    </row>
    <row r="3" spans="1:27" ht="12.75" customHeight="1" thickBot="1" x14ac:dyDescent="0.25">
      <c r="B3" s="2"/>
      <c r="C3" s="4" t="s">
        <v>2</v>
      </c>
      <c r="D3" s="5" t="str">
        <f>'Data Summary'!D4</f>
        <v>Metallothermic Reduction of Rare Earth Oxides</v>
      </c>
      <c r="E3" s="6"/>
      <c r="F3" s="6"/>
      <c r="G3" s="6"/>
      <c r="H3" s="6"/>
      <c r="I3" s="6"/>
      <c r="J3" s="6"/>
      <c r="K3" s="6"/>
      <c r="L3" s="6"/>
      <c r="M3" s="7"/>
      <c r="N3" s="2"/>
      <c r="O3" s="2"/>
    </row>
    <row r="4" spans="1:27" ht="42.75" customHeight="1" thickBot="1" x14ac:dyDescent="0.25">
      <c r="B4" s="2"/>
      <c r="C4" s="4" t="s">
        <v>3</v>
      </c>
      <c r="D4" s="344" t="str">
        <f>'Data Summary'!D6</f>
        <v>Metallothermic reduction of a rare earth oxide through calcium chloride and sodium.</v>
      </c>
      <c r="E4" s="345"/>
      <c r="F4" s="345"/>
      <c r="G4" s="345"/>
      <c r="H4" s="345"/>
      <c r="I4" s="345"/>
      <c r="J4" s="345"/>
      <c r="K4" s="345"/>
      <c r="L4" s="345"/>
      <c r="M4" s="346"/>
      <c r="N4" s="2"/>
      <c r="O4" s="2"/>
    </row>
    <row r="5" spans="1:27" ht="39" customHeight="1" thickBot="1" x14ac:dyDescent="0.25">
      <c r="B5" s="2"/>
      <c r="C5" s="4" t="s">
        <v>4</v>
      </c>
      <c r="D5" s="347" t="s">
        <v>560</v>
      </c>
      <c r="E5" s="348"/>
      <c r="F5" s="348"/>
      <c r="G5" s="348"/>
      <c r="H5" s="348"/>
      <c r="I5" s="348"/>
      <c r="J5" s="348"/>
      <c r="K5" s="348"/>
      <c r="L5" s="348"/>
      <c r="M5" s="349"/>
      <c r="N5" s="2"/>
      <c r="O5" s="2"/>
    </row>
    <row r="6" spans="1:27" ht="56.25" customHeight="1" thickBot="1" x14ac:dyDescent="0.25">
      <c r="B6" s="2"/>
      <c r="C6" s="8" t="s">
        <v>5</v>
      </c>
      <c r="D6" s="347" t="s">
        <v>6</v>
      </c>
      <c r="E6" s="348"/>
      <c r="F6" s="348"/>
      <c r="G6" s="348"/>
      <c r="H6" s="348"/>
      <c r="I6" s="348"/>
      <c r="J6" s="348"/>
      <c r="K6" s="348"/>
      <c r="L6" s="348"/>
      <c r="M6" s="34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37" t="s">
        <v>10</v>
      </c>
      <c r="C9" s="10" t="s">
        <v>11</v>
      </c>
      <c r="D9" s="339" t="s">
        <v>12</v>
      </c>
      <c r="E9" s="339"/>
      <c r="F9" s="339"/>
      <c r="G9" s="339"/>
      <c r="H9" s="339"/>
      <c r="I9" s="339"/>
      <c r="J9" s="339"/>
      <c r="K9" s="339"/>
      <c r="L9" s="339"/>
      <c r="M9" s="340"/>
      <c r="N9" s="2"/>
      <c r="O9" s="2"/>
      <c r="P9" s="2"/>
      <c r="Q9" s="2"/>
      <c r="R9" s="2"/>
      <c r="S9" s="2"/>
      <c r="T9" s="2"/>
      <c r="U9" s="2"/>
      <c r="V9" s="2"/>
      <c r="W9" s="2"/>
      <c r="X9" s="2"/>
      <c r="Y9" s="2"/>
      <c r="Z9" s="2"/>
      <c r="AA9" s="2"/>
    </row>
    <row r="10" spans="1:27" s="11" customFormat="1" ht="15" customHeight="1" x14ac:dyDescent="0.2">
      <c r="A10" s="2"/>
      <c r="B10" s="338"/>
      <c r="C10" s="12" t="s">
        <v>13</v>
      </c>
      <c r="D10" s="341" t="s">
        <v>14</v>
      </c>
      <c r="E10" s="341"/>
      <c r="F10" s="341"/>
      <c r="G10" s="341"/>
      <c r="H10" s="341"/>
      <c r="I10" s="341"/>
      <c r="J10" s="341"/>
      <c r="K10" s="341"/>
      <c r="L10" s="341"/>
      <c r="M10" s="342"/>
      <c r="N10" s="2"/>
      <c r="O10" s="2"/>
      <c r="P10" s="2"/>
      <c r="Q10" s="2"/>
      <c r="R10" s="2"/>
      <c r="S10" s="2"/>
      <c r="T10" s="2"/>
      <c r="U10" s="2"/>
      <c r="V10" s="2"/>
      <c r="W10" s="2"/>
      <c r="X10" s="2"/>
      <c r="Y10" s="2"/>
      <c r="Z10" s="2"/>
      <c r="AA10" s="2"/>
    </row>
    <row r="11" spans="1:27" s="11" customFormat="1" ht="15" customHeight="1" x14ac:dyDescent="0.2">
      <c r="A11" s="2"/>
      <c r="B11" s="338"/>
      <c r="C11" s="12" t="s">
        <v>15</v>
      </c>
      <c r="D11" s="341" t="s">
        <v>16</v>
      </c>
      <c r="E11" s="341"/>
      <c r="F11" s="341"/>
      <c r="G11" s="341"/>
      <c r="H11" s="341"/>
      <c r="I11" s="341"/>
      <c r="J11" s="341"/>
      <c r="K11" s="341"/>
      <c r="L11" s="341"/>
      <c r="M11" s="342"/>
      <c r="N11" s="2"/>
      <c r="O11" s="2"/>
      <c r="P11" s="2"/>
      <c r="Q11" s="2"/>
      <c r="R11" s="2"/>
      <c r="S11" s="2"/>
      <c r="T11" s="2"/>
      <c r="U11" s="2"/>
      <c r="V11" s="2"/>
      <c r="W11" s="2"/>
      <c r="X11" s="2"/>
      <c r="Y11" s="2"/>
      <c r="Z11" s="2"/>
      <c r="AA11" s="2"/>
    </row>
    <row r="12" spans="1:27" s="11" customFormat="1" ht="15" customHeight="1" x14ac:dyDescent="0.2">
      <c r="A12" s="2"/>
      <c r="B12" s="338"/>
      <c r="C12" s="12" t="s">
        <v>17</v>
      </c>
      <c r="D12" s="341" t="s">
        <v>18</v>
      </c>
      <c r="E12" s="341"/>
      <c r="F12" s="341"/>
      <c r="G12" s="341"/>
      <c r="H12" s="341"/>
      <c r="I12" s="341"/>
      <c r="J12" s="341"/>
      <c r="K12" s="341"/>
      <c r="L12" s="341"/>
      <c r="M12" s="342"/>
      <c r="N12" s="2"/>
      <c r="O12" s="2"/>
      <c r="P12" s="2"/>
      <c r="Q12" s="2"/>
      <c r="R12" s="2"/>
      <c r="S12" s="2"/>
      <c r="T12" s="2"/>
      <c r="U12" s="2"/>
      <c r="V12" s="2"/>
      <c r="W12" s="2"/>
      <c r="X12" s="2"/>
      <c r="Y12" s="2"/>
      <c r="Z12" s="2"/>
      <c r="AA12" s="2"/>
    </row>
    <row r="13" spans="1:27" ht="14.25" customHeight="1" x14ac:dyDescent="0.2">
      <c r="B13" s="352" t="s">
        <v>19</v>
      </c>
      <c r="C13" s="247" t="s">
        <v>468</v>
      </c>
      <c r="D13" s="354" t="s">
        <v>469</v>
      </c>
      <c r="E13" s="354"/>
      <c r="F13" s="354"/>
      <c r="G13" s="354"/>
      <c r="H13" s="354"/>
      <c r="I13" s="354"/>
      <c r="J13" s="354"/>
      <c r="K13" s="354"/>
      <c r="L13" s="354"/>
      <c r="M13" s="355"/>
      <c r="N13" s="2"/>
      <c r="O13" s="2"/>
    </row>
    <row r="14" spans="1:27" ht="15" customHeight="1" x14ac:dyDescent="0.2">
      <c r="B14" s="352"/>
      <c r="C14" s="13" t="s">
        <v>521</v>
      </c>
      <c r="D14" s="354" t="s">
        <v>522</v>
      </c>
      <c r="E14" s="354"/>
      <c r="F14" s="354"/>
      <c r="G14" s="354"/>
      <c r="H14" s="354"/>
      <c r="I14" s="354"/>
      <c r="J14" s="354"/>
      <c r="K14" s="354"/>
      <c r="L14" s="354"/>
      <c r="M14" s="355"/>
      <c r="N14" s="2"/>
      <c r="O14" s="2"/>
    </row>
    <row r="15" spans="1:27" ht="15" customHeight="1" x14ac:dyDescent="0.2">
      <c r="B15" s="352"/>
      <c r="C15" s="13" t="s">
        <v>20</v>
      </c>
      <c r="D15" s="354" t="s">
        <v>21</v>
      </c>
      <c r="E15" s="354"/>
      <c r="F15" s="354"/>
      <c r="G15" s="354"/>
      <c r="H15" s="354"/>
      <c r="I15" s="354"/>
      <c r="J15" s="354"/>
      <c r="K15" s="354"/>
      <c r="L15" s="354"/>
      <c r="M15" s="355"/>
      <c r="N15" s="2"/>
      <c r="O15" s="2"/>
    </row>
    <row r="16" spans="1:27" ht="15" customHeight="1" x14ac:dyDescent="0.2">
      <c r="B16" s="352"/>
      <c r="C16" s="14" t="s">
        <v>22</v>
      </c>
      <c r="D16" s="354" t="s">
        <v>22</v>
      </c>
      <c r="E16" s="354"/>
      <c r="F16" s="354"/>
      <c r="G16" s="354"/>
      <c r="H16" s="354"/>
      <c r="I16" s="354"/>
      <c r="J16" s="354"/>
      <c r="K16" s="354"/>
      <c r="L16" s="354"/>
      <c r="M16" s="355"/>
      <c r="N16" s="2"/>
      <c r="O16" s="2"/>
    </row>
    <row r="17" spans="2:16" ht="15" customHeight="1" x14ac:dyDescent="0.2">
      <c r="B17" s="352"/>
      <c r="C17" s="14" t="s">
        <v>485</v>
      </c>
      <c r="D17" s="354" t="s">
        <v>486</v>
      </c>
      <c r="E17" s="354"/>
      <c r="F17" s="354"/>
      <c r="G17" s="354"/>
      <c r="H17" s="354"/>
      <c r="I17" s="354"/>
      <c r="J17" s="354"/>
      <c r="K17" s="354"/>
      <c r="L17" s="354"/>
      <c r="M17" s="314"/>
      <c r="N17" s="2"/>
      <c r="O17" s="2"/>
    </row>
    <row r="18" spans="2:16" ht="15" customHeight="1" thickBot="1" x14ac:dyDescent="0.25">
      <c r="B18" s="353"/>
      <c r="C18" s="15"/>
      <c r="D18" s="356"/>
      <c r="E18" s="356"/>
      <c r="F18" s="356"/>
      <c r="G18" s="356"/>
      <c r="H18" s="356"/>
      <c r="I18" s="356"/>
      <c r="J18" s="356"/>
      <c r="K18" s="356"/>
      <c r="L18" s="356"/>
      <c r="M18" s="357"/>
      <c r="N18" s="2"/>
      <c r="O18" s="2"/>
    </row>
    <row r="19" spans="2:16" x14ac:dyDescent="0.2">
      <c r="B19" s="9"/>
      <c r="C19" s="9"/>
      <c r="D19" s="9"/>
      <c r="E19" s="9"/>
      <c r="F19" s="9"/>
      <c r="G19" s="9"/>
      <c r="H19" s="9"/>
      <c r="I19" s="9"/>
      <c r="J19" s="9"/>
      <c r="K19" s="9"/>
      <c r="L19" s="9"/>
      <c r="M19" s="9"/>
      <c r="N19" s="2"/>
      <c r="O19" s="2"/>
    </row>
    <row r="20" spans="2:16" x14ac:dyDescent="0.2">
      <c r="B20" s="9" t="s">
        <v>23</v>
      </c>
      <c r="C20" s="9"/>
      <c r="D20" s="9"/>
      <c r="E20" s="9"/>
      <c r="F20" s="9"/>
      <c r="G20" s="9"/>
      <c r="H20" s="9"/>
      <c r="I20" s="9"/>
      <c r="J20" s="9"/>
      <c r="K20" s="9"/>
      <c r="L20" s="9"/>
      <c r="M20" s="9"/>
      <c r="N20" s="2"/>
      <c r="O20" s="2"/>
    </row>
    <row r="21" spans="2:16" x14ac:dyDescent="0.2">
      <c r="B21" s="9"/>
      <c r="C21" s="16">
        <v>41800</v>
      </c>
      <c r="D21" s="9"/>
      <c r="E21" s="9"/>
      <c r="F21" s="9"/>
      <c r="G21" s="9"/>
      <c r="H21" s="9"/>
      <c r="I21" s="9"/>
      <c r="J21" s="9"/>
      <c r="K21" s="9"/>
      <c r="L21" s="9"/>
      <c r="M21" s="9"/>
      <c r="N21" s="2"/>
      <c r="O21" s="2"/>
    </row>
    <row r="22" spans="2:16" x14ac:dyDescent="0.2">
      <c r="B22" s="9" t="s">
        <v>24</v>
      </c>
      <c r="C22" s="9"/>
      <c r="D22" s="9"/>
      <c r="E22" s="9"/>
      <c r="F22" s="9"/>
      <c r="G22" s="9"/>
      <c r="H22" s="9"/>
      <c r="I22" s="9"/>
      <c r="J22" s="9"/>
      <c r="K22" s="9"/>
      <c r="L22" s="9"/>
      <c r="M22" s="9"/>
      <c r="N22" s="2"/>
      <c r="O22" s="2"/>
    </row>
    <row r="23" spans="2:16" x14ac:dyDescent="0.2">
      <c r="B23" s="9"/>
      <c r="C23" s="17" t="s">
        <v>25</v>
      </c>
      <c r="D23" s="9"/>
      <c r="E23" s="9"/>
      <c r="F23" s="9"/>
      <c r="G23" s="9"/>
      <c r="H23" s="9"/>
      <c r="I23" s="9"/>
      <c r="J23" s="9"/>
      <c r="K23" s="9"/>
      <c r="L23" s="9"/>
      <c r="M23" s="9"/>
      <c r="N23" s="2"/>
      <c r="O23" s="2"/>
    </row>
    <row r="24" spans="2:16" x14ac:dyDescent="0.2">
      <c r="B24" s="9" t="s">
        <v>26</v>
      </c>
      <c r="C24" s="17"/>
      <c r="D24" s="9"/>
      <c r="E24" s="9"/>
      <c r="F24" s="9"/>
      <c r="G24" s="9"/>
      <c r="H24" s="9"/>
      <c r="I24" s="9"/>
      <c r="J24" s="9"/>
      <c r="K24" s="9"/>
      <c r="L24" s="9"/>
      <c r="M24" s="9"/>
      <c r="N24" s="2"/>
      <c r="O24" s="2"/>
    </row>
    <row r="25" spans="2:16" x14ac:dyDescent="0.2">
      <c r="B25" s="9"/>
      <c r="C25" s="17" t="s">
        <v>27</v>
      </c>
      <c r="D25" s="9"/>
      <c r="E25" s="9"/>
      <c r="F25" s="9"/>
      <c r="G25" s="9"/>
      <c r="H25" s="9"/>
      <c r="I25" s="9"/>
      <c r="J25" s="9"/>
      <c r="K25" s="9"/>
      <c r="L25" s="9"/>
      <c r="M25" s="9"/>
      <c r="N25" s="2"/>
      <c r="O25" s="2"/>
    </row>
    <row r="26" spans="2:16" x14ac:dyDescent="0.2">
      <c r="B26" s="9" t="s">
        <v>28</v>
      </c>
      <c r="C26" s="9"/>
      <c r="D26" s="9"/>
      <c r="E26" s="9"/>
      <c r="F26" s="9"/>
      <c r="G26" s="9"/>
      <c r="H26" s="9"/>
      <c r="I26" s="9"/>
      <c r="J26" s="9"/>
      <c r="K26" s="9"/>
      <c r="L26" s="9"/>
      <c r="M26" s="9"/>
      <c r="N26" s="2"/>
      <c r="O26" s="2"/>
    </row>
    <row r="27" spans="2:16" ht="38.25" customHeight="1" x14ac:dyDescent="0.2">
      <c r="B27" s="9"/>
      <c r="C27" s="350" t="str">
        <f>"This document should be cited as: NETL (2014). NETL Life Cycle Inventory Data – Unit Process: "&amp;D3&amp;". U.S. Department of Energy, National Energy Technology Laboratory. Accessed [Date]. www.netl.doe.gov/LCA"</f>
        <v>This document should be cited as: NETL (2014). NETL Life Cycle Inventory Data – Unit Process: Metallothermic Reduction of Rare Earth Oxides. U.S. Department of Energy, National Energy Technology Laboratory. Accessed [Date]. www.netl.doe.gov/LCA</v>
      </c>
      <c r="D27" s="350"/>
      <c r="E27" s="350"/>
      <c r="F27" s="350"/>
      <c r="G27" s="350"/>
      <c r="H27" s="350"/>
      <c r="I27" s="350"/>
      <c r="J27" s="350"/>
      <c r="K27" s="350"/>
      <c r="L27" s="350"/>
      <c r="M27" s="350"/>
      <c r="N27" s="2"/>
      <c r="O27" s="2"/>
    </row>
    <row r="28" spans="2:16" x14ac:dyDescent="0.2">
      <c r="B28" s="9" t="s">
        <v>29</v>
      </c>
      <c r="C28" s="9"/>
      <c r="D28" s="9"/>
      <c r="E28" s="9"/>
      <c r="F28" s="9"/>
      <c r="G28" s="17"/>
      <c r="H28" s="17"/>
      <c r="I28" s="17"/>
      <c r="J28" s="17"/>
      <c r="K28" s="17"/>
      <c r="L28" s="17"/>
      <c r="M28" s="17"/>
      <c r="N28" s="2"/>
      <c r="O28" s="2"/>
    </row>
    <row r="29" spans="2:16" x14ac:dyDescent="0.2">
      <c r="B29" s="17"/>
      <c r="C29" s="17" t="s">
        <v>30</v>
      </c>
      <c r="D29" s="17"/>
      <c r="E29" s="18" t="s">
        <v>31</v>
      </c>
      <c r="F29" s="19"/>
      <c r="G29" s="17" t="s">
        <v>32</v>
      </c>
      <c r="H29" s="17"/>
      <c r="I29" s="17"/>
      <c r="J29" s="17"/>
      <c r="K29" s="17"/>
      <c r="L29" s="17"/>
      <c r="M29" s="17"/>
      <c r="N29" s="2"/>
      <c r="O29" s="2"/>
      <c r="P29" s="17"/>
    </row>
    <row r="30" spans="2:16" x14ac:dyDescent="0.2">
      <c r="B30" s="17"/>
      <c r="C30" s="17" t="s">
        <v>33</v>
      </c>
      <c r="D30" s="17"/>
      <c r="E30" s="17"/>
      <c r="F30" s="17"/>
      <c r="G30" s="17"/>
      <c r="H30" s="17"/>
      <c r="I30" s="17"/>
      <c r="J30" s="17"/>
      <c r="K30" s="17"/>
      <c r="L30" s="17"/>
      <c r="M30" s="17"/>
      <c r="N30" s="2"/>
      <c r="O30" s="2"/>
      <c r="P30" s="17"/>
    </row>
    <row r="31" spans="2:16" x14ac:dyDescent="0.2">
      <c r="B31" s="17"/>
      <c r="C31" s="17" t="s">
        <v>34</v>
      </c>
      <c r="D31" s="17"/>
      <c r="E31" s="17"/>
      <c r="F31" s="17"/>
      <c r="G31" s="17"/>
      <c r="H31" s="17"/>
      <c r="I31" s="17"/>
      <c r="J31" s="17"/>
      <c r="K31" s="17"/>
      <c r="L31" s="17"/>
      <c r="M31" s="17"/>
      <c r="N31" s="17"/>
      <c r="O31" s="17"/>
      <c r="P31" s="17"/>
    </row>
    <row r="32" spans="2:16" x14ac:dyDescent="0.2">
      <c r="B32" s="17"/>
      <c r="C32" s="351" t="s">
        <v>35</v>
      </c>
      <c r="D32" s="351"/>
      <c r="E32" s="351"/>
      <c r="F32" s="351"/>
      <c r="G32" s="351"/>
      <c r="H32" s="351"/>
      <c r="I32" s="351"/>
      <c r="J32" s="351"/>
      <c r="K32" s="351"/>
      <c r="L32" s="351"/>
      <c r="M32" s="351"/>
      <c r="N32" s="17"/>
      <c r="O32" s="17"/>
      <c r="P32" s="17"/>
    </row>
    <row r="33" spans="2:15" x14ac:dyDescent="0.2">
      <c r="B33" s="17"/>
      <c r="C33" s="17"/>
      <c r="D33" s="17"/>
      <c r="E33" s="17"/>
      <c r="F33" s="17"/>
      <c r="G33" s="17"/>
      <c r="H33" s="17"/>
      <c r="I33" s="17"/>
      <c r="J33" s="17"/>
      <c r="K33" s="17"/>
      <c r="L33" s="17"/>
      <c r="M33" s="17"/>
      <c r="N33" s="17"/>
      <c r="O33" s="17"/>
    </row>
    <row r="34" spans="2:15" x14ac:dyDescent="0.2">
      <c r="B34" s="9" t="s">
        <v>36</v>
      </c>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9" t="s">
        <v>37</v>
      </c>
      <c r="C50" s="17"/>
      <c r="D50" s="17"/>
      <c r="E50" s="17"/>
      <c r="F50" s="17"/>
      <c r="G50" s="17"/>
      <c r="H50" s="17"/>
      <c r="I50" s="17"/>
      <c r="J50" s="17"/>
      <c r="K50" s="17"/>
      <c r="L50" s="17"/>
      <c r="M50" s="17"/>
      <c r="N50" s="17"/>
      <c r="O50" s="17"/>
    </row>
    <row r="51" spans="2:15" x14ac:dyDescent="0.2">
      <c r="B51" s="17"/>
      <c r="C51" s="20" t="s">
        <v>38</v>
      </c>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sheetData>
  <mergeCells count="19">
    <mergeCell ref="C27:M27"/>
    <mergeCell ref="C32:M32"/>
    <mergeCell ref="B13:B18"/>
    <mergeCell ref="D13:M13"/>
    <mergeCell ref="D14:M14"/>
    <mergeCell ref="D15:M15"/>
    <mergeCell ref="D16:M16"/>
    <mergeCell ref="D18:M18"/>
    <mergeCell ref="D17:L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G33" sqref="G33"/>
    </sheetView>
  </sheetViews>
  <sheetFormatPr defaultRowHeight="15" x14ac:dyDescent="0.25"/>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22"/>
  <sheetViews>
    <sheetView tabSelected="1" zoomScale="80" zoomScaleNormal="80"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43" t="s">
        <v>0</v>
      </c>
      <c r="C1" s="343"/>
      <c r="D1" s="343"/>
      <c r="E1" s="343"/>
      <c r="F1" s="343"/>
      <c r="G1" s="343"/>
      <c r="H1" s="343"/>
      <c r="I1" s="343"/>
      <c r="J1" s="343"/>
      <c r="K1" s="343"/>
      <c r="L1" s="343"/>
      <c r="M1" s="343"/>
      <c r="N1" s="343"/>
      <c r="O1" s="343"/>
      <c r="P1" s="343"/>
      <c r="Q1" s="343"/>
      <c r="R1" s="2"/>
      <c r="S1" s="2"/>
      <c r="T1" s="2"/>
      <c r="U1" s="2"/>
      <c r="V1" s="2"/>
      <c r="W1" s="2"/>
      <c r="X1" s="2"/>
      <c r="Y1" s="2"/>
    </row>
    <row r="2" spans="1:25" ht="20.25" x14ac:dyDescent="0.3">
      <c r="A2" s="2"/>
      <c r="B2" s="343" t="s">
        <v>39</v>
      </c>
      <c r="C2" s="343"/>
      <c r="D2" s="343"/>
      <c r="E2" s="343"/>
      <c r="F2" s="343"/>
      <c r="G2" s="343"/>
      <c r="H2" s="343"/>
      <c r="I2" s="343"/>
      <c r="J2" s="343"/>
      <c r="K2" s="343"/>
      <c r="L2" s="343"/>
      <c r="M2" s="343"/>
      <c r="N2" s="343"/>
      <c r="O2" s="343"/>
      <c r="P2" s="343"/>
      <c r="Q2" s="343"/>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61" t="s">
        <v>40</v>
      </c>
      <c r="C4" s="361"/>
      <c r="D4" s="21" t="s">
        <v>347</v>
      </c>
      <c r="E4" s="22"/>
      <c r="F4" s="2"/>
      <c r="G4" s="2"/>
      <c r="H4" s="2"/>
      <c r="I4" s="2"/>
      <c r="J4" s="2"/>
      <c r="K4" s="2"/>
      <c r="L4" s="2"/>
      <c r="M4" s="2"/>
      <c r="N4" s="2"/>
      <c r="O4" s="2"/>
      <c r="P4" s="2"/>
      <c r="Q4" s="2"/>
      <c r="R4" s="2"/>
      <c r="S4" s="2"/>
      <c r="T4" s="2"/>
      <c r="U4" s="2"/>
      <c r="V4" s="2"/>
      <c r="W4" s="2"/>
      <c r="X4" s="2"/>
      <c r="Y4" s="2"/>
    </row>
    <row r="5" spans="1:25" ht="15.75" thickBot="1" x14ac:dyDescent="0.3">
      <c r="A5" s="2"/>
      <c r="B5" s="361" t="s">
        <v>41</v>
      </c>
      <c r="C5" s="361"/>
      <c r="D5" s="23">
        <v>1</v>
      </c>
      <c r="E5" s="24" t="s">
        <v>42</v>
      </c>
      <c r="F5" s="25" t="s">
        <v>43</v>
      </c>
      <c r="G5" s="363" t="s">
        <v>246</v>
      </c>
      <c r="H5" s="363"/>
      <c r="I5" s="363"/>
      <c r="J5" s="363"/>
      <c r="K5" s="26"/>
      <c r="L5" s="26"/>
      <c r="M5" s="27" t="s">
        <v>17</v>
      </c>
      <c r="N5" s="28" t="str">
        <f>DQI!I9</f>
        <v>2,4,3,3,2</v>
      </c>
      <c r="O5" s="29"/>
      <c r="P5" s="17" t="s">
        <v>44</v>
      </c>
      <c r="Q5" s="2"/>
      <c r="R5" s="2"/>
      <c r="S5" s="2"/>
      <c r="T5" s="2"/>
      <c r="U5" s="2"/>
      <c r="V5" s="2"/>
      <c r="W5" s="2"/>
      <c r="X5" s="2"/>
      <c r="Y5" s="2"/>
    </row>
    <row r="6" spans="1:25" ht="27.75" customHeight="1" x14ac:dyDescent="0.25">
      <c r="A6" s="2"/>
      <c r="B6" s="364" t="s">
        <v>45</v>
      </c>
      <c r="C6" s="365"/>
      <c r="D6" s="366" t="s">
        <v>537</v>
      </c>
      <c r="E6" s="367"/>
      <c r="F6" s="367"/>
      <c r="G6" s="367"/>
      <c r="H6" s="367"/>
      <c r="I6" s="367"/>
      <c r="J6" s="367"/>
      <c r="K6" s="367"/>
      <c r="L6" s="367"/>
      <c r="M6" s="367"/>
      <c r="N6" s="367"/>
      <c r="O6" s="368"/>
      <c r="P6" s="30"/>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1"/>
      <c r="B8" s="369" t="s">
        <v>46</v>
      </c>
      <c r="C8" s="370"/>
      <c r="D8" s="370"/>
      <c r="E8" s="370"/>
      <c r="F8" s="370"/>
      <c r="G8" s="370"/>
      <c r="H8" s="370"/>
      <c r="I8" s="370"/>
      <c r="J8" s="370"/>
      <c r="K8" s="370"/>
      <c r="L8" s="370"/>
      <c r="M8" s="370"/>
      <c r="N8" s="370"/>
      <c r="O8" s="370"/>
      <c r="P8" s="371"/>
      <c r="Q8" s="31"/>
      <c r="R8" s="31"/>
      <c r="S8" s="31"/>
      <c r="T8" s="31"/>
      <c r="U8" s="31"/>
      <c r="V8" s="31"/>
      <c r="W8" s="31"/>
      <c r="X8" s="31"/>
      <c r="Y8" s="31"/>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61" t="s">
        <v>47</v>
      </c>
      <c r="C10" s="361"/>
      <c r="D10" s="372" t="s">
        <v>248</v>
      </c>
      <c r="E10" s="373"/>
      <c r="F10" s="2"/>
      <c r="G10" s="32" t="s">
        <v>48</v>
      </c>
      <c r="H10" s="33"/>
      <c r="I10" s="33"/>
      <c r="J10" s="33"/>
      <c r="K10" s="33"/>
      <c r="L10" s="33"/>
      <c r="M10" s="33"/>
      <c r="N10" s="33"/>
      <c r="O10" s="34"/>
      <c r="P10" s="2"/>
      <c r="Q10" s="2"/>
      <c r="R10" s="2"/>
      <c r="S10" s="2"/>
      <c r="T10" s="2"/>
      <c r="U10" s="2"/>
      <c r="V10" s="2"/>
      <c r="W10" s="2"/>
      <c r="X10" s="2"/>
      <c r="Y10" s="2"/>
    </row>
    <row r="11" spans="1:25" x14ac:dyDescent="0.25">
      <c r="A11" s="2"/>
      <c r="B11" s="374" t="s">
        <v>49</v>
      </c>
      <c r="C11" s="375"/>
      <c r="D11" s="358" t="s">
        <v>346</v>
      </c>
      <c r="E11" s="373"/>
      <c r="F11" s="2"/>
      <c r="G11" s="35" t="str">
        <f>CONCATENATE("Reference Flow: ",D5," ",E5," of ",G5)</f>
        <v>Reference Flow: 1 kg of rare earth metal</v>
      </c>
      <c r="H11" s="36"/>
      <c r="I11" s="36"/>
      <c r="J11" s="36"/>
      <c r="K11" s="36"/>
      <c r="L11" s="36"/>
      <c r="M11" s="36"/>
      <c r="N11" s="36"/>
      <c r="O11" s="37"/>
      <c r="P11" s="2"/>
      <c r="Q11" s="2"/>
      <c r="R11" s="2"/>
      <c r="S11" s="2"/>
      <c r="T11" s="2"/>
      <c r="U11" s="2"/>
      <c r="V11" s="2"/>
      <c r="W11" s="2"/>
      <c r="X11" s="2"/>
      <c r="Y11" s="2"/>
    </row>
    <row r="12" spans="1:25" x14ac:dyDescent="0.25">
      <c r="A12" s="2"/>
      <c r="B12" s="361" t="s">
        <v>50</v>
      </c>
      <c r="C12" s="361"/>
      <c r="D12" s="362">
        <v>2013</v>
      </c>
      <c r="E12" s="362"/>
      <c r="F12" s="2"/>
      <c r="G12" s="35"/>
      <c r="H12" s="36"/>
      <c r="I12" s="36"/>
      <c r="J12" s="36"/>
      <c r="K12" s="36"/>
      <c r="L12" s="36"/>
      <c r="M12" s="36"/>
      <c r="N12" s="36"/>
      <c r="O12" s="37"/>
      <c r="P12" s="2"/>
      <c r="Q12" s="2"/>
      <c r="R12" s="2"/>
      <c r="S12" s="2"/>
      <c r="T12" s="2"/>
      <c r="U12" s="2"/>
      <c r="V12" s="2"/>
      <c r="W12" s="2"/>
      <c r="X12" s="2"/>
      <c r="Y12" s="2"/>
    </row>
    <row r="13" spans="1:25" ht="12.75" customHeight="1" x14ac:dyDescent="0.25">
      <c r="A13" s="2"/>
      <c r="B13" s="361" t="s">
        <v>51</v>
      </c>
      <c r="C13" s="361"/>
      <c r="D13" s="376" t="s">
        <v>100</v>
      </c>
      <c r="E13" s="376"/>
      <c r="F13" s="2"/>
      <c r="G13" s="377" t="s">
        <v>536</v>
      </c>
      <c r="H13" s="378"/>
      <c r="I13" s="378"/>
      <c r="J13" s="378"/>
      <c r="K13" s="378"/>
      <c r="L13" s="378"/>
      <c r="M13" s="378"/>
      <c r="N13" s="378"/>
      <c r="O13" s="379"/>
      <c r="P13" s="2"/>
      <c r="Q13" s="2"/>
      <c r="R13" s="2"/>
      <c r="S13" s="2"/>
      <c r="T13" s="2"/>
      <c r="U13" s="2"/>
      <c r="V13" s="2"/>
      <c r="W13" s="2"/>
      <c r="X13" s="2"/>
      <c r="Y13" s="2"/>
    </row>
    <row r="14" spans="1:25" x14ac:dyDescent="0.25">
      <c r="A14" s="2"/>
      <c r="B14" s="361" t="s">
        <v>52</v>
      </c>
      <c r="C14" s="361"/>
      <c r="D14" s="376" t="s">
        <v>97</v>
      </c>
      <c r="E14" s="376"/>
      <c r="F14" s="2"/>
      <c r="G14" s="377"/>
      <c r="H14" s="378"/>
      <c r="I14" s="378"/>
      <c r="J14" s="378"/>
      <c r="K14" s="378"/>
      <c r="L14" s="378"/>
      <c r="M14" s="378"/>
      <c r="N14" s="378"/>
      <c r="O14" s="379"/>
      <c r="P14" s="2"/>
      <c r="Q14" s="2"/>
      <c r="R14" s="2"/>
      <c r="S14" s="2"/>
      <c r="T14" s="2"/>
      <c r="U14" s="2"/>
      <c r="V14" s="2"/>
      <c r="W14" s="2"/>
      <c r="X14" s="2"/>
      <c r="Y14" s="2"/>
    </row>
    <row r="15" spans="1:25" x14ac:dyDescent="0.25">
      <c r="A15" s="2"/>
      <c r="B15" s="361" t="s">
        <v>53</v>
      </c>
      <c r="C15" s="361"/>
      <c r="D15" s="376" t="s">
        <v>247</v>
      </c>
      <c r="E15" s="376"/>
      <c r="F15" s="2"/>
      <c r="G15" s="377"/>
      <c r="H15" s="378"/>
      <c r="I15" s="378"/>
      <c r="J15" s="378"/>
      <c r="K15" s="378"/>
      <c r="L15" s="378"/>
      <c r="M15" s="378"/>
      <c r="N15" s="378"/>
      <c r="O15" s="379"/>
      <c r="P15" s="2"/>
      <c r="Q15" s="2"/>
      <c r="R15" s="2"/>
      <c r="S15" s="2"/>
      <c r="T15" s="2"/>
      <c r="U15" s="2"/>
      <c r="V15" s="2"/>
      <c r="W15" s="2"/>
      <c r="X15" s="2"/>
      <c r="Y15" s="2"/>
    </row>
    <row r="16" spans="1:25" x14ac:dyDescent="0.25">
      <c r="A16" s="2"/>
      <c r="B16" s="361" t="s">
        <v>54</v>
      </c>
      <c r="C16" s="361"/>
      <c r="D16" s="376" t="s">
        <v>93</v>
      </c>
      <c r="E16" s="376"/>
      <c r="F16" s="2"/>
      <c r="G16" s="377"/>
      <c r="H16" s="378"/>
      <c r="I16" s="378"/>
      <c r="J16" s="378"/>
      <c r="K16" s="378"/>
      <c r="L16" s="378"/>
      <c r="M16" s="378"/>
      <c r="N16" s="378"/>
      <c r="O16" s="379"/>
      <c r="P16" s="2"/>
      <c r="Q16" s="2"/>
      <c r="R16" s="2"/>
      <c r="S16" s="2"/>
      <c r="T16" s="2"/>
      <c r="U16" s="2"/>
      <c r="V16" s="2"/>
      <c r="W16" s="2"/>
      <c r="X16" s="2"/>
      <c r="Y16" s="2"/>
    </row>
    <row r="17" spans="1:25" ht="23.45" customHeight="1" x14ac:dyDescent="0.25">
      <c r="A17" s="2"/>
      <c r="B17" s="381" t="s">
        <v>55</v>
      </c>
      <c r="C17" s="382"/>
      <c r="D17" s="383"/>
      <c r="E17" s="383"/>
      <c r="F17" s="2"/>
      <c r="G17" s="38" t="s">
        <v>245</v>
      </c>
      <c r="H17" s="39"/>
      <c r="I17" s="39"/>
      <c r="J17" s="39"/>
      <c r="K17" s="39"/>
      <c r="L17" s="39"/>
      <c r="M17" s="39"/>
      <c r="N17" s="39"/>
      <c r="O17" s="40"/>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1"/>
      <c r="B20" s="369" t="s">
        <v>56</v>
      </c>
      <c r="C20" s="370"/>
      <c r="D20" s="370"/>
      <c r="E20" s="370"/>
      <c r="F20" s="370"/>
      <c r="G20" s="370"/>
      <c r="H20" s="370"/>
      <c r="I20" s="370"/>
      <c r="J20" s="370"/>
      <c r="K20" s="370"/>
      <c r="L20" s="370"/>
      <c r="M20" s="370"/>
      <c r="N20" s="370"/>
      <c r="O20" s="370"/>
      <c r="P20" s="371"/>
      <c r="Q20" s="31"/>
      <c r="R20" s="31"/>
      <c r="S20" s="31"/>
      <c r="T20" s="31"/>
      <c r="U20" s="31"/>
      <c r="V20" s="31"/>
      <c r="W20" s="31"/>
      <c r="X20" s="31"/>
      <c r="Y20" s="31"/>
    </row>
    <row r="21" spans="1:25" x14ac:dyDescent="0.25">
      <c r="A21" s="2"/>
      <c r="B21" s="9"/>
      <c r="C21" s="2"/>
      <c r="D21" s="2"/>
      <c r="E21" s="2"/>
      <c r="F21" s="2"/>
      <c r="G21" s="41" t="s">
        <v>57</v>
      </c>
      <c r="H21" s="2"/>
      <c r="I21" s="2"/>
      <c r="J21" s="2"/>
      <c r="K21" s="2"/>
      <c r="L21" s="2"/>
      <c r="M21" s="2"/>
      <c r="N21" s="2"/>
      <c r="O21" s="2"/>
      <c r="P21" s="2"/>
      <c r="Q21" s="2"/>
      <c r="R21" s="2"/>
      <c r="S21" s="2"/>
      <c r="T21" s="2"/>
      <c r="U21" s="2"/>
      <c r="V21" s="2"/>
      <c r="W21" s="2"/>
      <c r="X21" s="2"/>
      <c r="Y21" s="2"/>
    </row>
    <row r="22" spans="1:25" x14ac:dyDescent="0.25">
      <c r="A22" s="2"/>
      <c r="B22" s="9"/>
      <c r="C22" s="42" t="s">
        <v>58</v>
      </c>
      <c r="D22" s="42" t="s">
        <v>59</v>
      </c>
      <c r="E22" s="42" t="s">
        <v>60</v>
      </c>
      <c r="F22" s="42" t="s">
        <v>61</v>
      </c>
      <c r="G22" s="42" t="s">
        <v>62</v>
      </c>
      <c r="H22" s="42" t="s">
        <v>63</v>
      </c>
      <c r="I22" s="42" t="s">
        <v>64</v>
      </c>
      <c r="J22" s="384" t="s">
        <v>65</v>
      </c>
      <c r="K22" s="385"/>
      <c r="L22" s="385"/>
      <c r="M22" s="385"/>
      <c r="N22" s="385"/>
      <c r="O22" s="385"/>
      <c r="P22" s="386"/>
      <c r="Q22" s="2"/>
      <c r="R22" s="2"/>
      <c r="S22" s="2"/>
      <c r="T22" s="2"/>
      <c r="U22" s="2"/>
      <c r="V22" s="2"/>
      <c r="W22" s="2"/>
      <c r="X22" s="2"/>
      <c r="Y22" s="2"/>
    </row>
    <row r="23" spans="1:25" x14ac:dyDescent="0.25">
      <c r="A23" s="2"/>
      <c r="B23" s="17">
        <f t="shared" ref="B23:B54" si="0">LEN(C23)</f>
        <v>6</v>
      </c>
      <c r="C23" s="43" t="s">
        <v>447</v>
      </c>
      <c r="D23" s="44"/>
      <c r="E23" s="45">
        <v>0</v>
      </c>
      <c r="F23" s="46">
        <v>0</v>
      </c>
      <c r="G23" s="47">
        <v>1</v>
      </c>
      <c r="H23" s="48" t="s">
        <v>571</v>
      </c>
      <c r="I23" s="46"/>
      <c r="J23" s="358" t="s">
        <v>321</v>
      </c>
      <c r="K23" s="359"/>
      <c r="L23" s="359"/>
      <c r="M23" s="359"/>
      <c r="N23" s="359"/>
      <c r="O23" s="359"/>
      <c r="P23" s="360"/>
      <c r="Q23" s="2"/>
      <c r="R23" s="2"/>
      <c r="S23" s="2"/>
      <c r="T23" s="2"/>
      <c r="U23" s="2"/>
      <c r="V23" s="2"/>
      <c r="W23" s="2"/>
      <c r="X23" s="2"/>
      <c r="Y23" s="2"/>
    </row>
    <row r="24" spans="1:25" x14ac:dyDescent="0.25">
      <c r="A24" s="2"/>
      <c r="B24" s="17">
        <f t="shared" si="0"/>
        <v>6</v>
      </c>
      <c r="C24" s="43" t="s">
        <v>448</v>
      </c>
      <c r="D24" s="44"/>
      <c r="E24" s="45">
        <v>0</v>
      </c>
      <c r="F24" s="46">
        <v>0</v>
      </c>
      <c r="G24" s="47">
        <v>1</v>
      </c>
      <c r="H24" s="48" t="s">
        <v>571</v>
      </c>
      <c r="I24" s="46"/>
      <c r="J24" s="358" t="s">
        <v>330</v>
      </c>
      <c r="K24" s="359"/>
      <c r="L24" s="359"/>
      <c r="M24" s="359"/>
      <c r="N24" s="359"/>
      <c r="O24" s="359"/>
      <c r="P24" s="360"/>
      <c r="Q24" s="2"/>
      <c r="R24" s="2"/>
      <c r="S24" s="2"/>
      <c r="T24" s="2"/>
      <c r="U24" s="2"/>
      <c r="V24" s="2"/>
      <c r="W24" s="2"/>
      <c r="X24" s="2"/>
      <c r="Y24" s="2"/>
    </row>
    <row r="25" spans="1:25" x14ac:dyDescent="0.25">
      <c r="A25" s="2"/>
      <c r="B25" s="17">
        <f t="shared" si="0"/>
        <v>6</v>
      </c>
      <c r="C25" s="43" t="s">
        <v>449</v>
      </c>
      <c r="D25" s="44"/>
      <c r="E25" s="45">
        <v>0</v>
      </c>
      <c r="F25" s="46">
        <v>0</v>
      </c>
      <c r="G25" s="47">
        <v>1</v>
      </c>
      <c r="H25" s="48" t="s">
        <v>571</v>
      </c>
      <c r="I25" s="46"/>
      <c r="J25" s="358" t="s">
        <v>331</v>
      </c>
      <c r="K25" s="359"/>
      <c r="L25" s="359"/>
      <c r="M25" s="359"/>
      <c r="N25" s="359"/>
      <c r="O25" s="359"/>
      <c r="P25" s="360"/>
      <c r="Q25" s="2"/>
      <c r="R25" s="2"/>
      <c r="S25" s="2"/>
      <c r="T25" s="2"/>
      <c r="U25" s="2"/>
      <c r="V25" s="2"/>
      <c r="W25" s="2"/>
      <c r="X25" s="2"/>
      <c r="Y25" s="2"/>
    </row>
    <row r="26" spans="1:25" x14ac:dyDescent="0.25">
      <c r="A26" s="2"/>
      <c r="B26" s="17">
        <f t="shared" si="0"/>
        <v>6</v>
      </c>
      <c r="C26" s="43" t="s">
        <v>450</v>
      </c>
      <c r="D26" s="44"/>
      <c r="E26" s="45">
        <v>0</v>
      </c>
      <c r="F26" s="46">
        <v>0</v>
      </c>
      <c r="G26" s="47">
        <v>1</v>
      </c>
      <c r="H26" s="48" t="s">
        <v>571</v>
      </c>
      <c r="I26" s="46"/>
      <c r="J26" s="358" t="s">
        <v>332</v>
      </c>
      <c r="K26" s="359"/>
      <c r="L26" s="359"/>
      <c r="M26" s="359"/>
      <c r="N26" s="359"/>
      <c r="O26" s="359"/>
      <c r="P26" s="360"/>
      <c r="Q26" s="2"/>
      <c r="R26" s="2"/>
      <c r="S26" s="2"/>
      <c r="T26" s="2"/>
      <c r="U26" s="2"/>
      <c r="V26" s="2"/>
      <c r="W26" s="2"/>
      <c r="X26" s="2"/>
      <c r="Y26" s="2"/>
    </row>
    <row r="27" spans="1:25" x14ac:dyDescent="0.25">
      <c r="A27" s="2"/>
      <c r="B27" s="17">
        <f t="shared" si="0"/>
        <v>6</v>
      </c>
      <c r="C27" s="43" t="s">
        <v>451</v>
      </c>
      <c r="D27" s="44"/>
      <c r="E27" s="45">
        <v>0</v>
      </c>
      <c r="F27" s="46">
        <v>0</v>
      </c>
      <c r="G27" s="47">
        <v>1</v>
      </c>
      <c r="H27" s="48" t="s">
        <v>571</v>
      </c>
      <c r="I27" s="46"/>
      <c r="J27" s="358" t="s">
        <v>333</v>
      </c>
      <c r="K27" s="359"/>
      <c r="L27" s="359"/>
      <c r="M27" s="359"/>
      <c r="N27" s="359"/>
      <c r="O27" s="359"/>
      <c r="P27" s="360"/>
      <c r="Q27" s="2"/>
      <c r="R27" s="2"/>
      <c r="S27" s="2"/>
      <c r="T27" s="2"/>
      <c r="U27" s="2"/>
      <c r="V27" s="2"/>
      <c r="W27" s="2"/>
      <c r="X27" s="2"/>
      <c r="Y27" s="2"/>
    </row>
    <row r="28" spans="1:25" x14ac:dyDescent="0.25">
      <c r="A28" s="2"/>
      <c r="B28" s="17">
        <f t="shared" si="0"/>
        <v>6</v>
      </c>
      <c r="C28" s="43" t="s">
        <v>452</v>
      </c>
      <c r="D28" s="44"/>
      <c r="E28" s="45">
        <v>0</v>
      </c>
      <c r="F28" s="46">
        <v>0</v>
      </c>
      <c r="G28" s="47">
        <v>1</v>
      </c>
      <c r="H28" s="48" t="s">
        <v>571</v>
      </c>
      <c r="I28" s="46"/>
      <c r="J28" s="358" t="s">
        <v>334</v>
      </c>
      <c r="K28" s="359"/>
      <c r="L28" s="359"/>
      <c r="M28" s="359"/>
      <c r="N28" s="359"/>
      <c r="O28" s="359"/>
      <c r="P28" s="360"/>
      <c r="Q28" s="2"/>
      <c r="R28" s="2"/>
      <c r="S28" s="2"/>
      <c r="T28" s="2"/>
      <c r="U28" s="2"/>
      <c r="V28" s="2"/>
      <c r="W28" s="2"/>
      <c r="X28" s="2"/>
      <c r="Y28" s="2"/>
    </row>
    <row r="29" spans="1:25" x14ac:dyDescent="0.25">
      <c r="A29" s="2"/>
      <c r="B29" s="17">
        <f t="shared" si="0"/>
        <v>6</v>
      </c>
      <c r="C29" s="43" t="s">
        <v>453</v>
      </c>
      <c r="D29" s="44"/>
      <c r="E29" s="45">
        <v>0</v>
      </c>
      <c r="F29" s="46">
        <v>0</v>
      </c>
      <c r="G29" s="47">
        <v>1</v>
      </c>
      <c r="H29" s="48" t="s">
        <v>571</v>
      </c>
      <c r="I29" s="46"/>
      <c r="J29" s="358" t="s">
        <v>335</v>
      </c>
      <c r="K29" s="359"/>
      <c r="L29" s="359"/>
      <c r="M29" s="359"/>
      <c r="N29" s="359"/>
      <c r="O29" s="359"/>
      <c r="P29" s="360"/>
      <c r="Q29" s="2"/>
      <c r="R29" s="2"/>
      <c r="S29" s="2"/>
      <c r="T29" s="2"/>
      <c r="U29" s="2"/>
      <c r="V29" s="2"/>
      <c r="W29" s="2"/>
      <c r="X29" s="2"/>
      <c r="Y29" s="2"/>
    </row>
    <row r="30" spans="1:25" x14ac:dyDescent="0.25">
      <c r="A30" s="2"/>
      <c r="B30" s="17">
        <f t="shared" si="0"/>
        <v>6</v>
      </c>
      <c r="C30" s="43" t="s">
        <v>454</v>
      </c>
      <c r="D30" s="44"/>
      <c r="E30" s="45">
        <v>0</v>
      </c>
      <c r="F30" s="46">
        <v>0</v>
      </c>
      <c r="G30" s="47">
        <v>1</v>
      </c>
      <c r="H30" s="48" t="s">
        <v>571</v>
      </c>
      <c r="I30" s="46"/>
      <c r="J30" s="358" t="s">
        <v>336</v>
      </c>
      <c r="K30" s="359"/>
      <c r="L30" s="359"/>
      <c r="M30" s="359"/>
      <c r="N30" s="359"/>
      <c r="O30" s="359"/>
      <c r="P30" s="360"/>
      <c r="Q30" s="2"/>
      <c r="R30" s="2"/>
      <c r="S30" s="2"/>
      <c r="T30" s="2"/>
      <c r="U30" s="2"/>
      <c r="V30" s="2"/>
      <c r="W30" s="2"/>
      <c r="X30" s="2"/>
      <c r="Y30" s="2"/>
    </row>
    <row r="31" spans="1:25" x14ac:dyDescent="0.25">
      <c r="A31" s="2"/>
      <c r="B31" s="17">
        <f t="shared" si="0"/>
        <v>6</v>
      </c>
      <c r="C31" s="43" t="s">
        <v>455</v>
      </c>
      <c r="D31" s="44"/>
      <c r="E31" s="45">
        <v>0</v>
      </c>
      <c r="F31" s="46">
        <v>0</v>
      </c>
      <c r="G31" s="47">
        <v>1</v>
      </c>
      <c r="H31" s="48" t="s">
        <v>571</v>
      </c>
      <c r="I31" s="46"/>
      <c r="J31" s="358" t="s">
        <v>337</v>
      </c>
      <c r="K31" s="359"/>
      <c r="L31" s="359"/>
      <c r="M31" s="359"/>
      <c r="N31" s="359"/>
      <c r="O31" s="359"/>
      <c r="P31" s="360"/>
      <c r="Q31" s="2"/>
      <c r="R31" s="2"/>
      <c r="S31" s="2"/>
      <c r="T31" s="2"/>
      <c r="U31" s="2"/>
      <c r="V31" s="2"/>
      <c r="W31" s="2"/>
      <c r="X31" s="2"/>
      <c r="Y31" s="2"/>
    </row>
    <row r="32" spans="1:25" x14ac:dyDescent="0.25">
      <c r="A32" s="2"/>
      <c r="B32" s="17">
        <f t="shared" si="0"/>
        <v>6</v>
      </c>
      <c r="C32" s="43" t="s">
        <v>471</v>
      </c>
      <c r="D32" s="44"/>
      <c r="E32" s="45">
        <v>0</v>
      </c>
      <c r="F32" s="46">
        <v>0</v>
      </c>
      <c r="G32" s="47">
        <v>1</v>
      </c>
      <c r="H32" s="48" t="s">
        <v>571</v>
      </c>
      <c r="I32" s="46"/>
      <c r="J32" s="358" t="s">
        <v>338</v>
      </c>
      <c r="K32" s="359"/>
      <c r="L32" s="359"/>
      <c r="M32" s="359"/>
      <c r="N32" s="359"/>
      <c r="O32" s="359"/>
      <c r="P32" s="360"/>
      <c r="Q32" s="2"/>
      <c r="R32" s="2"/>
      <c r="S32" s="2"/>
      <c r="T32" s="2"/>
      <c r="U32" s="2"/>
      <c r="V32" s="2"/>
      <c r="W32" s="2"/>
      <c r="X32" s="2"/>
      <c r="Y32" s="2"/>
    </row>
    <row r="33" spans="1:25" x14ac:dyDescent="0.25">
      <c r="A33" s="2"/>
      <c r="B33" s="17">
        <f t="shared" si="0"/>
        <v>6</v>
      </c>
      <c r="C33" s="43" t="s">
        <v>472</v>
      </c>
      <c r="D33" s="44"/>
      <c r="E33" s="45">
        <v>0</v>
      </c>
      <c r="F33" s="46">
        <v>0</v>
      </c>
      <c r="G33" s="47">
        <v>1</v>
      </c>
      <c r="H33" s="48" t="s">
        <v>571</v>
      </c>
      <c r="I33" s="46"/>
      <c r="J33" s="358" t="s">
        <v>339</v>
      </c>
      <c r="K33" s="359"/>
      <c r="L33" s="359"/>
      <c r="M33" s="359"/>
      <c r="N33" s="359"/>
      <c r="O33" s="359"/>
      <c r="P33" s="360"/>
      <c r="Q33" s="2"/>
      <c r="R33" s="2"/>
      <c r="S33" s="2"/>
      <c r="T33" s="2"/>
      <c r="U33" s="2"/>
      <c r="V33" s="2"/>
      <c r="W33" s="2"/>
      <c r="X33" s="2"/>
      <c r="Y33" s="2"/>
    </row>
    <row r="34" spans="1:25" x14ac:dyDescent="0.25">
      <c r="A34" s="2"/>
      <c r="B34" s="17">
        <f t="shared" si="0"/>
        <v>6</v>
      </c>
      <c r="C34" s="43" t="s">
        <v>473</v>
      </c>
      <c r="D34" s="44"/>
      <c r="E34" s="45">
        <v>0</v>
      </c>
      <c r="F34" s="46">
        <v>0</v>
      </c>
      <c r="G34" s="47">
        <v>1</v>
      </c>
      <c r="H34" s="48" t="s">
        <v>571</v>
      </c>
      <c r="I34" s="46"/>
      <c r="J34" s="358" t="s">
        <v>341</v>
      </c>
      <c r="K34" s="359"/>
      <c r="L34" s="359"/>
      <c r="M34" s="359"/>
      <c r="N34" s="359"/>
      <c r="O34" s="359"/>
      <c r="P34" s="360"/>
      <c r="Q34" s="2"/>
      <c r="R34" s="2"/>
      <c r="S34" s="2"/>
      <c r="T34" s="2"/>
      <c r="U34" s="2"/>
      <c r="V34" s="2"/>
      <c r="W34" s="2"/>
      <c r="X34" s="2"/>
      <c r="Y34" s="2"/>
    </row>
    <row r="35" spans="1:25" x14ac:dyDescent="0.25">
      <c r="A35" s="2"/>
      <c r="B35" s="17">
        <f t="shared" si="0"/>
        <v>6</v>
      </c>
      <c r="C35" s="43" t="s">
        <v>474</v>
      </c>
      <c r="D35" s="44"/>
      <c r="E35" s="45">
        <v>0</v>
      </c>
      <c r="F35" s="46">
        <v>0</v>
      </c>
      <c r="G35" s="47">
        <v>1</v>
      </c>
      <c r="H35" s="48" t="s">
        <v>571</v>
      </c>
      <c r="I35" s="46"/>
      <c r="J35" s="358" t="s">
        <v>340</v>
      </c>
      <c r="K35" s="359"/>
      <c r="L35" s="359"/>
      <c r="M35" s="359"/>
      <c r="N35" s="359"/>
      <c r="O35" s="359"/>
      <c r="P35" s="360"/>
      <c r="Q35" s="2"/>
      <c r="R35" s="2"/>
      <c r="S35" s="2"/>
      <c r="T35" s="2"/>
      <c r="U35" s="2"/>
      <c r="V35" s="2"/>
      <c r="W35" s="2"/>
      <c r="X35" s="2"/>
      <c r="Y35" s="2"/>
    </row>
    <row r="36" spans="1:25" x14ac:dyDescent="0.25">
      <c r="A36" s="2"/>
      <c r="B36" s="17">
        <f t="shared" si="0"/>
        <v>6</v>
      </c>
      <c r="C36" s="43" t="s">
        <v>475</v>
      </c>
      <c r="D36" s="44"/>
      <c r="E36" s="45">
        <v>0</v>
      </c>
      <c r="F36" s="46">
        <v>0</v>
      </c>
      <c r="G36" s="47">
        <v>1</v>
      </c>
      <c r="H36" s="48" t="s">
        <v>571</v>
      </c>
      <c r="I36" s="46"/>
      <c r="J36" s="358" t="s">
        <v>342</v>
      </c>
      <c r="K36" s="359"/>
      <c r="L36" s="359"/>
      <c r="M36" s="359"/>
      <c r="N36" s="359"/>
      <c r="O36" s="359"/>
      <c r="P36" s="360"/>
      <c r="Q36" s="2"/>
      <c r="R36" s="2"/>
      <c r="S36" s="2"/>
      <c r="T36" s="2"/>
      <c r="U36" s="2"/>
      <c r="V36" s="2"/>
      <c r="W36" s="2"/>
      <c r="X36" s="2"/>
      <c r="Y36" s="2"/>
    </row>
    <row r="37" spans="1:25" x14ac:dyDescent="0.25">
      <c r="A37" s="2"/>
      <c r="B37" s="17">
        <f t="shared" si="0"/>
        <v>5</v>
      </c>
      <c r="C37" s="43" t="s">
        <v>481</v>
      </c>
      <c r="D37" s="44"/>
      <c r="E37" s="45">
        <v>1</v>
      </c>
      <c r="F37" s="46">
        <v>0</v>
      </c>
      <c r="G37" s="47">
        <v>1</v>
      </c>
      <c r="H37" s="48" t="s">
        <v>571</v>
      </c>
      <c r="I37" s="46"/>
      <c r="J37" s="358" t="s">
        <v>343</v>
      </c>
      <c r="K37" s="359"/>
      <c r="L37" s="359"/>
      <c r="M37" s="359"/>
      <c r="N37" s="359"/>
      <c r="O37" s="359"/>
      <c r="P37" s="360"/>
      <c r="Q37" s="2"/>
      <c r="R37" s="2"/>
      <c r="S37" s="2"/>
      <c r="T37" s="2"/>
      <c r="U37" s="2"/>
      <c r="V37" s="2"/>
      <c r="W37" s="2"/>
      <c r="X37" s="2"/>
      <c r="Y37" s="2"/>
    </row>
    <row r="38" spans="1:25" x14ac:dyDescent="0.25">
      <c r="A38" s="2"/>
      <c r="B38" s="17">
        <f t="shared" si="0"/>
        <v>7</v>
      </c>
      <c r="C38" s="43" t="s">
        <v>271</v>
      </c>
      <c r="D38" s="44"/>
      <c r="E38" s="90">
        <f>Input!G13</f>
        <v>0.17211400000000002</v>
      </c>
      <c r="F38" s="46"/>
      <c r="G38" s="47"/>
      <c r="H38" s="48" t="s">
        <v>273</v>
      </c>
      <c r="I38" s="46"/>
      <c r="J38" s="358" t="s">
        <v>319</v>
      </c>
      <c r="K38" s="359"/>
      <c r="L38" s="359"/>
      <c r="M38" s="359"/>
      <c r="N38" s="359"/>
      <c r="O38" s="359"/>
      <c r="P38" s="360"/>
      <c r="Q38" s="2"/>
      <c r="R38" s="2"/>
      <c r="S38" s="2"/>
      <c r="T38" s="2"/>
      <c r="U38" s="2"/>
      <c r="V38" s="2"/>
      <c r="W38" s="2"/>
      <c r="X38" s="2"/>
      <c r="Y38" s="2"/>
    </row>
    <row r="39" spans="1:25" x14ac:dyDescent="0.25">
      <c r="A39" s="2"/>
      <c r="B39" s="17">
        <f t="shared" si="0"/>
        <v>8</v>
      </c>
      <c r="C39" s="43" t="s">
        <v>270</v>
      </c>
      <c r="D39" s="44"/>
      <c r="E39" s="90">
        <f>Input!G14</f>
        <v>0.32580794000000002</v>
      </c>
      <c r="F39" s="46"/>
      <c r="G39" s="47"/>
      <c r="H39" s="48" t="s">
        <v>273</v>
      </c>
      <c r="I39" s="46"/>
      <c r="J39" s="358" t="s">
        <v>319</v>
      </c>
      <c r="K39" s="359"/>
      <c r="L39" s="359"/>
      <c r="M39" s="359"/>
      <c r="N39" s="359"/>
      <c r="O39" s="359"/>
      <c r="P39" s="360"/>
      <c r="Q39" s="2"/>
      <c r="R39" s="2"/>
      <c r="S39" s="2"/>
      <c r="T39" s="2"/>
      <c r="U39" s="2"/>
      <c r="V39" s="2"/>
      <c r="W39" s="2"/>
      <c r="X39" s="2"/>
      <c r="Y39" s="2"/>
    </row>
    <row r="40" spans="1:25" x14ac:dyDescent="0.25">
      <c r="A40" s="2"/>
      <c r="B40" s="17">
        <f t="shared" si="0"/>
        <v>9</v>
      </c>
      <c r="C40" s="43" t="s">
        <v>292</v>
      </c>
      <c r="D40" s="44"/>
      <c r="E40" s="90">
        <f>Input!G15</f>
        <v>1.0214349</v>
      </c>
      <c r="F40" s="46"/>
      <c r="G40" s="47"/>
      <c r="H40" s="48" t="s">
        <v>273</v>
      </c>
      <c r="I40" s="46"/>
      <c r="J40" s="358" t="s">
        <v>319</v>
      </c>
      <c r="K40" s="359"/>
      <c r="L40" s="359"/>
      <c r="M40" s="359"/>
      <c r="N40" s="359"/>
      <c r="O40" s="359"/>
      <c r="P40" s="360"/>
      <c r="Q40" s="2"/>
      <c r="R40" s="2"/>
      <c r="S40" s="2"/>
      <c r="T40" s="2"/>
      <c r="U40" s="2"/>
      <c r="V40" s="2"/>
      <c r="W40" s="2"/>
      <c r="X40" s="2"/>
      <c r="Y40" s="2"/>
    </row>
    <row r="41" spans="1:25" x14ac:dyDescent="0.25">
      <c r="A41" s="2"/>
      <c r="B41" s="17">
        <f t="shared" si="0"/>
        <v>8</v>
      </c>
      <c r="C41" s="43" t="s">
        <v>293</v>
      </c>
      <c r="D41" s="44"/>
      <c r="E41" s="90">
        <f>Input!G16</f>
        <v>0.33648099999999997</v>
      </c>
      <c r="F41" s="46"/>
      <c r="G41" s="47"/>
      <c r="H41" s="48" t="s">
        <v>273</v>
      </c>
      <c r="I41" s="46"/>
      <c r="J41" s="358" t="s">
        <v>319</v>
      </c>
      <c r="K41" s="359"/>
      <c r="L41" s="359"/>
      <c r="M41" s="359"/>
      <c r="N41" s="359"/>
      <c r="O41" s="359"/>
      <c r="P41" s="360"/>
      <c r="Q41" s="2"/>
      <c r="R41" s="2"/>
      <c r="S41" s="2"/>
      <c r="T41" s="2"/>
      <c r="U41" s="2"/>
      <c r="V41" s="2"/>
      <c r="W41" s="2"/>
      <c r="X41" s="2"/>
      <c r="Y41" s="2"/>
    </row>
    <row r="42" spans="1:25" x14ac:dyDescent="0.25">
      <c r="A42" s="2"/>
      <c r="B42" s="17">
        <f t="shared" si="0"/>
        <v>8</v>
      </c>
      <c r="C42" s="43" t="s">
        <v>294</v>
      </c>
      <c r="D42" s="44"/>
      <c r="E42" s="90">
        <f>Input!G17</f>
        <v>0.34871700000000005</v>
      </c>
      <c r="F42" s="46"/>
      <c r="G42" s="47"/>
      <c r="H42" s="48" t="s">
        <v>273</v>
      </c>
      <c r="I42" s="46"/>
      <c r="J42" s="358" t="s">
        <v>319</v>
      </c>
      <c r="K42" s="359"/>
      <c r="L42" s="359"/>
      <c r="M42" s="359"/>
      <c r="N42" s="359"/>
      <c r="O42" s="359"/>
      <c r="P42" s="360"/>
      <c r="Q42" s="2"/>
      <c r="R42" s="2"/>
      <c r="S42" s="2"/>
      <c r="T42" s="2"/>
      <c r="U42" s="2"/>
      <c r="V42" s="2"/>
      <c r="W42" s="2"/>
      <c r="X42" s="2"/>
      <c r="Y42" s="2"/>
    </row>
    <row r="43" spans="1:25" x14ac:dyDescent="0.25">
      <c r="A43" s="2"/>
      <c r="B43" s="17">
        <f t="shared" si="0"/>
        <v>8</v>
      </c>
      <c r="C43" s="43" t="s">
        <v>295</v>
      </c>
      <c r="D43" s="44"/>
      <c r="E43" s="90">
        <f>Input!G18</f>
        <v>0.35192500000000004</v>
      </c>
      <c r="F43" s="46"/>
      <c r="G43" s="47"/>
      <c r="H43" s="48" t="s">
        <v>273</v>
      </c>
      <c r="I43" s="46"/>
      <c r="J43" s="358" t="s">
        <v>319</v>
      </c>
      <c r="K43" s="359"/>
      <c r="L43" s="359"/>
      <c r="M43" s="359"/>
      <c r="N43" s="359"/>
      <c r="O43" s="359"/>
      <c r="P43" s="360"/>
      <c r="Q43" s="2"/>
      <c r="R43" s="2"/>
      <c r="S43" s="2"/>
      <c r="T43" s="2"/>
      <c r="U43" s="2"/>
      <c r="V43" s="2"/>
      <c r="W43" s="2"/>
      <c r="X43" s="2"/>
      <c r="Y43" s="2"/>
    </row>
    <row r="44" spans="1:25" x14ac:dyDescent="0.25">
      <c r="A44" s="2"/>
      <c r="B44" s="17">
        <f t="shared" si="0"/>
        <v>8</v>
      </c>
      <c r="C44" s="43" t="s">
        <v>296</v>
      </c>
      <c r="D44" s="44"/>
      <c r="E44" s="90">
        <f>Input!G19</f>
        <v>0.36249700000000001</v>
      </c>
      <c r="F44" s="46"/>
      <c r="G44" s="47"/>
      <c r="H44" s="48" t="s">
        <v>273</v>
      </c>
      <c r="I44" s="46"/>
      <c r="J44" s="358" t="s">
        <v>319</v>
      </c>
      <c r="K44" s="359"/>
      <c r="L44" s="359"/>
      <c r="M44" s="359"/>
      <c r="N44" s="359"/>
      <c r="O44" s="359"/>
      <c r="P44" s="360"/>
      <c r="Q44" s="2"/>
      <c r="R44" s="2"/>
      <c r="S44" s="2"/>
      <c r="T44" s="2"/>
      <c r="U44" s="2"/>
      <c r="V44" s="2"/>
      <c r="W44" s="2"/>
      <c r="X44" s="2"/>
      <c r="Y44" s="2"/>
    </row>
    <row r="45" spans="1:25" x14ac:dyDescent="0.25">
      <c r="A45" s="2"/>
      <c r="B45" s="17">
        <f t="shared" si="0"/>
        <v>8</v>
      </c>
      <c r="C45" s="43" t="s">
        <v>297</v>
      </c>
      <c r="D45" s="44"/>
      <c r="E45" s="90">
        <f>Input!G20</f>
        <v>0.74769440000000009</v>
      </c>
      <c r="F45" s="46"/>
      <c r="G45" s="47"/>
      <c r="H45" s="48" t="s">
        <v>273</v>
      </c>
      <c r="I45" s="46"/>
      <c r="J45" s="358" t="s">
        <v>319</v>
      </c>
      <c r="K45" s="359"/>
      <c r="L45" s="359"/>
      <c r="M45" s="359"/>
      <c r="N45" s="359"/>
      <c r="O45" s="359"/>
      <c r="P45" s="360"/>
      <c r="Q45" s="2"/>
      <c r="R45" s="2"/>
      <c r="S45" s="2"/>
      <c r="T45" s="2"/>
      <c r="U45" s="2"/>
      <c r="V45" s="2"/>
      <c r="W45" s="2"/>
      <c r="X45" s="2"/>
      <c r="Y45" s="2"/>
    </row>
    <row r="46" spans="1:25" x14ac:dyDescent="0.25">
      <c r="A46" s="2"/>
      <c r="B46" s="17">
        <f t="shared" si="0"/>
        <v>8</v>
      </c>
      <c r="C46" s="43" t="s">
        <v>298</v>
      </c>
      <c r="D46" s="44"/>
      <c r="E46" s="90">
        <f>Input!G21</f>
        <v>0.37299700000000002</v>
      </c>
      <c r="F46" s="46"/>
      <c r="G46" s="47"/>
      <c r="H46" s="48" t="s">
        <v>273</v>
      </c>
      <c r="I46" s="46"/>
      <c r="J46" s="358" t="s">
        <v>319</v>
      </c>
      <c r="K46" s="359"/>
      <c r="L46" s="359"/>
      <c r="M46" s="359"/>
      <c r="N46" s="359"/>
      <c r="O46" s="359"/>
      <c r="P46" s="360"/>
      <c r="Q46" s="2"/>
      <c r="R46" s="2"/>
      <c r="S46" s="2"/>
      <c r="T46" s="2"/>
      <c r="U46" s="2"/>
      <c r="V46" s="2"/>
      <c r="W46" s="2"/>
      <c r="X46" s="2"/>
      <c r="Y46" s="2"/>
    </row>
    <row r="47" spans="1:25" x14ac:dyDescent="0.25">
      <c r="A47" s="2"/>
      <c r="B47" s="17">
        <f t="shared" si="0"/>
        <v>8</v>
      </c>
      <c r="C47" s="43" t="s">
        <v>299</v>
      </c>
      <c r="D47" s="44"/>
      <c r="E47" s="90">
        <f>Input!G25</f>
        <v>0.37785763999999999</v>
      </c>
      <c r="F47" s="46"/>
      <c r="G47" s="47"/>
      <c r="H47" s="48" t="s">
        <v>273</v>
      </c>
      <c r="I47" s="46"/>
      <c r="J47" s="358" t="s">
        <v>319</v>
      </c>
      <c r="K47" s="359"/>
      <c r="L47" s="359"/>
      <c r="M47" s="359"/>
      <c r="N47" s="359"/>
      <c r="O47" s="359"/>
      <c r="P47" s="360"/>
      <c r="Q47" s="2"/>
      <c r="R47" s="2"/>
      <c r="S47" s="2"/>
      <c r="T47" s="2"/>
      <c r="U47" s="2"/>
      <c r="V47" s="2"/>
      <c r="W47" s="2"/>
      <c r="X47" s="2"/>
      <c r="Y47" s="2"/>
    </row>
    <row r="48" spans="1:25" x14ac:dyDescent="0.25">
      <c r="A48" s="2"/>
      <c r="B48" s="17">
        <f t="shared" si="0"/>
        <v>8</v>
      </c>
      <c r="C48" s="43" t="s">
        <v>300</v>
      </c>
      <c r="D48" s="44"/>
      <c r="E48" s="90">
        <f>Input!G23</f>
        <v>0.38251499999999999</v>
      </c>
      <c r="F48" s="46"/>
      <c r="G48" s="47"/>
      <c r="H48" s="48" t="s">
        <v>273</v>
      </c>
      <c r="I48" s="46"/>
      <c r="J48" s="358" t="s">
        <v>319</v>
      </c>
      <c r="K48" s="359"/>
      <c r="L48" s="359"/>
      <c r="M48" s="359"/>
      <c r="N48" s="359"/>
      <c r="O48" s="359"/>
      <c r="P48" s="360"/>
      <c r="Q48" s="2"/>
      <c r="R48" s="2"/>
      <c r="S48" s="2"/>
      <c r="T48" s="2"/>
      <c r="U48" s="2"/>
      <c r="V48" s="2"/>
      <c r="W48" s="2"/>
      <c r="X48" s="2"/>
      <c r="Y48" s="2"/>
    </row>
    <row r="49" spans="1:25" x14ac:dyDescent="0.25">
      <c r="A49" s="2"/>
      <c r="B49" s="17">
        <f t="shared" si="0"/>
        <v>8</v>
      </c>
      <c r="C49" s="43" t="s">
        <v>301</v>
      </c>
      <c r="D49" s="44"/>
      <c r="E49" s="90">
        <f>Input!G27</f>
        <v>0.38586542000000001</v>
      </c>
      <c r="F49" s="46"/>
      <c r="G49" s="47"/>
      <c r="H49" s="48" t="s">
        <v>273</v>
      </c>
      <c r="I49" s="46"/>
      <c r="J49" s="358" t="s">
        <v>319</v>
      </c>
      <c r="K49" s="359"/>
      <c r="L49" s="359"/>
      <c r="M49" s="359"/>
      <c r="N49" s="359"/>
      <c r="O49" s="359"/>
      <c r="P49" s="360"/>
      <c r="Q49" s="2"/>
      <c r="R49" s="2"/>
      <c r="S49" s="2"/>
      <c r="T49" s="2"/>
      <c r="U49" s="2"/>
      <c r="V49" s="2"/>
      <c r="W49" s="2"/>
      <c r="X49" s="2"/>
      <c r="Y49" s="2"/>
    </row>
    <row r="50" spans="1:25" x14ac:dyDescent="0.25">
      <c r="A50" s="2"/>
      <c r="B50" s="17">
        <f t="shared" si="0"/>
        <v>8</v>
      </c>
      <c r="C50" s="43" t="s">
        <v>302</v>
      </c>
      <c r="D50" s="44"/>
      <c r="E50" s="90">
        <f>Input!G24</f>
        <v>0.39407700000000001</v>
      </c>
      <c r="F50" s="46"/>
      <c r="G50" s="47"/>
      <c r="H50" s="48" t="s">
        <v>273</v>
      </c>
      <c r="I50" s="46"/>
      <c r="J50" s="358" t="s">
        <v>319</v>
      </c>
      <c r="K50" s="359"/>
      <c r="L50" s="359"/>
      <c r="M50" s="359"/>
      <c r="N50" s="359"/>
      <c r="O50" s="359"/>
      <c r="P50" s="360"/>
      <c r="Q50" s="2"/>
      <c r="R50" s="2"/>
      <c r="S50" s="2"/>
      <c r="T50" s="2"/>
      <c r="U50" s="2"/>
      <c r="V50" s="2"/>
      <c r="W50" s="2"/>
      <c r="X50" s="2"/>
      <c r="Y50" s="2"/>
    </row>
    <row r="51" spans="1:25" x14ac:dyDescent="0.25">
      <c r="A51" s="2"/>
      <c r="B51" s="17">
        <f t="shared" si="0"/>
        <v>8</v>
      </c>
      <c r="C51" s="43" t="s">
        <v>303</v>
      </c>
      <c r="D51" s="44"/>
      <c r="E51" s="90">
        <f>Input!G26</f>
        <v>0.39793100000000003</v>
      </c>
      <c r="F51" s="46"/>
      <c r="G51" s="47"/>
      <c r="H51" s="48" t="s">
        <v>273</v>
      </c>
      <c r="I51" s="46"/>
      <c r="J51" s="358" t="s">
        <v>319</v>
      </c>
      <c r="K51" s="359"/>
      <c r="L51" s="359"/>
      <c r="M51" s="359"/>
      <c r="N51" s="359"/>
      <c r="O51" s="359"/>
      <c r="P51" s="360"/>
      <c r="Q51" s="2"/>
      <c r="R51" s="2"/>
      <c r="S51" s="2"/>
      <c r="T51" s="2"/>
      <c r="U51" s="2"/>
      <c r="V51" s="2"/>
      <c r="W51" s="2"/>
      <c r="X51" s="2"/>
      <c r="Y51" s="2"/>
    </row>
    <row r="52" spans="1:25" x14ac:dyDescent="0.25">
      <c r="A52" s="2"/>
      <c r="B52" s="17">
        <f t="shared" si="0"/>
        <v>7</v>
      </c>
      <c r="C52" s="43" t="s">
        <v>272</v>
      </c>
      <c r="D52" s="44"/>
      <c r="E52" s="90">
        <f>Input!G22</f>
        <v>0.2258087</v>
      </c>
      <c r="F52" s="46"/>
      <c r="G52" s="47"/>
      <c r="H52" s="48" t="s">
        <v>273</v>
      </c>
      <c r="I52" s="46"/>
      <c r="J52" s="358" t="s">
        <v>319</v>
      </c>
      <c r="K52" s="359"/>
      <c r="L52" s="359"/>
      <c r="M52" s="359"/>
      <c r="N52" s="359"/>
      <c r="O52" s="359"/>
      <c r="P52" s="360"/>
      <c r="Q52" s="2"/>
      <c r="R52" s="2"/>
      <c r="S52" s="2"/>
      <c r="T52" s="2"/>
      <c r="U52" s="2"/>
      <c r="V52" s="2"/>
      <c r="W52" s="2"/>
      <c r="X52" s="2"/>
      <c r="Y52" s="2"/>
    </row>
    <row r="53" spans="1:25" x14ac:dyDescent="0.25">
      <c r="A53" s="2"/>
      <c r="B53" s="17">
        <f t="shared" si="0"/>
        <v>5</v>
      </c>
      <c r="C53" s="43" t="s">
        <v>304</v>
      </c>
      <c r="D53" s="44"/>
      <c r="E53" s="90">
        <f>Input!D13</f>
        <v>0.14011600000000002</v>
      </c>
      <c r="F53" s="46"/>
      <c r="G53" s="47"/>
      <c r="H53" s="48" t="s">
        <v>273</v>
      </c>
      <c r="I53" s="46"/>
      <c r="J53" s="358" t="s">
        <v>320</v>
      </c>
      <c r="K53" s="359"/>
      <c r="L53" s="359"/>
      <c r="M53" s="359"/>
      <c r="N53" s="359"/>
      <c r="O53" s="359"/>
      <c r="P53" s="360"/>
      <c r="Q53" s="2"/>
      <c r="R53" s="2"/>
      <c r="S53" s="2"/>
      <c r="T53" s="2"/>
      <c r="U53" s="2"/>
      <c r="V53" s="2"/>
      <c r="W53" s="2"/>
      <c r="X53" s="2"/>
      <c r="Y53" s="2"/>
    </row>
    <row r="54" spans="1:25" x14ac:dyDescent="0.25">
      <c r="A54" s="2"/>
      <c r="B54" s="17">
        <f t="shared" si="0"/>
        <v>5</v>
      </c>
      <c r="C54" s="43" t="s">
        <v>305</v>
      </c>
      <c r="D54" s="44"/>
      <c r="E54" s="90">
        <f>Input!D14</f>
        <v>0.13890547</v>
      </c>
      <c r="F54" s="46"/>
      <c r="G54" s="47"/>
      <c r="H54" s="48" t="s">
        <v>273</v>
      </c>
      <c r="I54" s="46"/>
      <c r="J54" s="358" t="s">
        <v>320</v>
      </c>
      <c r="K54" s="359"/>
      <c r="L54" s="359"/>
      <c r="M54" s="359"/>
      <c r="N54" s="359"/>
      <c r="O54" s="359"/>
      <c r="P54" s="360"/>
      <c r="Q54" s="2"/>
      <c r="R54" s="2"/>
      <c r="S54" s="2"/>
      <c r="T54" s="2"/>
      <c r="U54" s="2"/>
      <c r="V54" s="2"/>
      <c r="W54" s="2"/>
      <c r="X54" s="2"/>
      <c r="Y54" s="2"/>
    </row>
    <row r="55" spans="1:25" x14ac:dyDescent="0.25">
      <c r="A55" s="2"/>
      <c r="B55" s="17">
        <f t="shared" ref="B55:B82" si="1">LEN(C55)</f>
        <v>5</v>
      </c>
      <c r="C55" s="43" t="s">
        <v>306</v>
      </c>
      <c r="D55" s="44"/>
      <c r="E55" s="90">
        <f>Input!D15</f>
        <v>0.14090765</v>
      </c>
      <c r="F55" s="46"/>
      <c r="G55" s="47"/>
      <c r="H55" s="48" t="s">
        <v>273</v>
      </c>
      <c r="I55" s="46"/>
      <c r="J55" s="358" t="s">
        <v>320</v>
      </c>
      <c r="K55" s="359"/>
      <c r="L55" s="359"/>
      <c r="M55" s="359"/>
      <c r="N55" s="359"/>
      <c r="O55" s="359"/>
      <c r="P55" s="360"/>
      <c r="Q55" s="2"/>
      <c r="R55" s="2"/>
      <c r="S55" s="2"/>
      <c r="T55" s="2"/>
      <c r="U55" s="2"/>
      <c r="V55" s="2"/>
      <c r="W55" s="2"/>
      <c r="X55" s="2"/>
      <c r="Y55" s="2"/>
    </row>
    <row r="56" spans="1:25" x14ac:dyDescent="0.25">
      <c r="A56" s="2"/>
      <c r="B56" s="17">
        <f t="shared" si="1"/>
        <v>5</v>
      </c>
      <c r="C56" s="43" t="s">
        <v>307</v>
      </c>
      <c r="D56" s="44"/>
      <c r="E56" s="90">
        <f>Input!D16</f>
        <v>0.14424199999999998</v>
      </c>
      <c r="F56" s="46"/>
      <c r="G56" s="47"/>
      <c r="H56" s="48" t="s">
        <v>273</v>
      </c>
      <c r="I56" s="46"/>
      <c r="J56" s="358" t="s">
        <v>320</v>
      </c>
      <c r="K56" s="359"/>
      <c r="L56" s="359"/>
      <c r="M56" s="359"/>
      <c r="N56" s="359"/>
      <c r="O56" s="359"/>
      <c r="P56" s="360"/>
      <c r="Q56" s="2"/>
      <c r="R56" s="2"/>
      <c r="S56" s="2"/>
      <c r="T56" s="2"/>
      <c r="U56" s="2"/>
      <c r="V56" s="2"/>
      <c r="W56" s="2"/>
      <c r="X56" s="2"/>
      <c r="Y56" s="2"/>
    </row>
    <row r="57" spans="1:25" x14ac:dyDescent="0.25">
      <c r="A57" s="2"/>
      <c r="B57" s="17">
        <f t="shared" si="1"/>
        <v>5</v>
      </c>
      <c r="C57" s="43" t="s">
        <v>308</v>
      </c>
      <c r="D57" s="44"/>
      <c r="E57" s="90">
        <f>Input!D17</f>
        <v>0.15036000000000002</v>
      </c>
      <c r="F57" s="46"/>
      <c r="G57" s="47"/>
      <c r="H57" s="48" t="s">
        <v>273</v>
      </c>
      <c r="I57" s="46"/>
      <c r="J57" s="358" t="s">
        <v>320</v>
      </c>
      <c r="K57" s="359"/>
      <c r="L57" s="359"/>
      <c r="M57" s="359"/>
      <c r="N57" s="359"/>
      <c r="O57" s="359"/>
      <c r="P57" s="360"/>
      <c r="Q57" s="2"/>
      <c r="R57" s="2"/>
      <c r="S57" s="2"/>
      <c r="T57" s="2"/>
      <c r="U57" s="2"/>
      <c r="V57" s="2"/>
      <c r="W57" s="2"/>
      <c r="X57" s="2"/>
      <c r="Y57" s="2"/>
    </row>
    <row r="58" spans="1:25" x14ac:dyDescent="0.25">
      <c r="A58" s="2"/>
      <c r="B58" s="17">
        <f t="shared" si="1"/>
        <v>5</v>
      </c>
      <c r="C58" s="43" t="s">
        <v>309</v>
      </c>
      <c r="D58" s="44"/>
      <c r="E58" s="90">
        <f>Input!D18</f>
        <v>0.15196399999999999</v>
      </c>
      <c r="F58" s="46"/>
      <c r="G58" s="47"/>
      <c r="H58" s="48" t="s">
        <v>273</v>
      </c>
      <c r="I58" s="46"/>
      <c r="J58" s="358" t="s">
        <v>320</v>
      </c>
      <c r="K58" s="359"/>
      <c r="L58" s="359"/>
      <c r="M58" s="359"/>
      <c r="N58" s="359"/>
      <c r="O58" s="359"/>
      <c r="P58" s="360"/>
      <c r="Q58" s="2"/>
      <c r="R58" s="2"/>
      <c r="S58" s="2"/>
      <c r="T58" s="2"/>
      <c r="U58" s="2"/>
      <c r="V58" s="2"/>
      <c r="W58" s="2"/>
      <c r="X58" s="2"/>
      <c r="Y58" s="2"/>
    </row>
    <row r="59" spans="1:25" x14ac:dyDescent="0.25">
      <c r="A59" s="2"/>
      <c r="B59" s="17">
        <f t="shared" si="1"/>
        <v>5</v>
      </c>
      <c r="C59" s="43" t="s">
        <v>310</v>
      </c>
      <c r="D59" s="44"/>
      <c r="E59" s="90">
        <f>Input!D19</f>
        <v>0.15725</v>
      </c>
      <c r="F59" s="46"/>
      <c r="G59" s="47"/>
      <c r="H59" s="48" t="s">
        <v>273</v>
      </c>
      <c r="I59" s="46"/>
      <c r="J59" s="358" t="s">
        <v>320</v>
      </c>
      <c r="K59" s="359"/>
      <c r="L59" s="359"/>
      <c r="M59" s="359"/>
      <c r="N59" s="359"/>
      <c r="O59" s="359"/>
      <c r="P59" s="360"/>
      <c r="Q59" s="2"/>
      <c r="R59" s="2"/>
      <c r="S59" s="2"/>
      <c r="T59" s="2"/>
      <c r="U59" s="2"/>
      <c r="V59" s="2"/>
      <c r="W59" s="2"/>
      <c r="X59" s="2"/>
      <c r="Y59" s="2"/>
    </row>
    <row r="60" spans="1:25" x14ac:dyDescent="0.25">
      <c r="A60" s="2"/>
      <c r="B60" s="17">
        <f t="shared" si="1"/>
        <v>5</v>
      </c>
      <c r="C60" s="43" t="s">
        <v>311</v>
      </c>
      <c r="D60" s="44"/>
      <c r="E60" s="90">
        <f>Input!D20</f>
        <v>0.15892535000000002</v>
      </c>
      <c r="F60" s="46"/>
      <c r="G60" s="47"/>
      <c r="H60" s="48" t="s">
        <v>273</v>
      </c>
      <c r="I60" s="46"/>
      <c r="J60" s="358" t="s">
        <v>320</v>
      </c>
      <c r="K60" s="359"/>
      <c r="L60" s="359"/>
      <c r="M60" s="359"/>
      <c r="N60" s="359"/>
      <c r="O60" s="359"/>
      <c r="P60" s="360"/>
      <c r="Q60" s="2"/>
      <c r="R60" s="2"/>
      <c r="S60" s="2"/>
      <c r="T60" s="2"/>
      <c r="U60" s="2"/>
      <c r="V60" s="2"/>
      <c r="W60" s="2"/>
      <c r="X60" s="2"/>
      <c r="Y60" s="2"/>
    </row>
    <row r="61" spans="1:25" x14ac:dyDescent="0.25">
      <c r="A61" s="2"/>
      <c r="B61" s="17">
        <f t="shared" si="1"/>
        <v>5</v>
      </c>
      <c r="C61" s="43" t="s">
        <v>312</v>
      </c>
      <c r="D61" s="44"/>
      <c r="E61" s="90">
        <f>Input!D21</f>
        <v>0.16250000000000001</v>
      </c>
      <c r="F61" s="46"/>
      <c r="G61" s="47"/>
      <c r="H61" s="48" t="s">
        <v>273</v>
      </c>
      <c r="I61" s="46"/>
      <c r="J61" s="358" t="s">
        <v>320</v>
      </c>
      <c r="K61" s="359"/>
      <c r="L61" s="359"/>
      <c r="M61" s="359"/>
      <c r="N61" s="359"/>
      <c r="O61" s="359"/>
      <c r="P61" s="360"/>
      <c r="Q61" s="2"/>
      <c r="R61" s="2"/>
      <c r="S61" s="2"/>
      <c r="T61" s="2"/>
      <c r="U61" s="2"/>
      <c r="V61" s="2"/>
      <c r="W61" s="2"/>
      <c r="X61" s="2"/>
      <c r="Y61" s="2"/>
    </row>
    <row r="62" spans="1:25" x14ac:dyDescent="0.25">
      <c r="A62" s="2"/>
      <c r="B62" s="17">
        <f t="shared" si="1"/>
        <v>5</v>
      </c>
      <c r="C62" s="43" t="s">
        <v>313</v>
      </c>
      <c r="D62" s="44"/>
      <c r="E62" s="90">
        <f>Input!D25</f>
        <v>0.16493031999999999</v>
      </c>
      <c r="F62" s="46"/>
      <c r="G62" s="47"/>
      <c r="H62" s="48" t="s">
        <v>273</v>
      </c>
      <c r="I62" s="46"/>
      <c r="J62" s="358" t="s">
        <v>320</v>
      </c>
      <c r="K62" s="359"/>
      <c r="L62" s="359"/>
      <c r="M62" s="359"/>
      <c r="N62" s="359"/>
      <c r="O62" s="359"/>
      <c r="P62" s="360"/>
      <c r="Q62" s="2"/>
      <c r="R62" s="2"/>
      <c r="S62" s="2"/>
      <c r="T62" s="2"/>
      <c r="U62" s="2"/>
      <c r="V62" s="2"/>
      <c r="W62" s="2"/>
      <c r="X62" s="2"/>
      <c r="Y62" s="2"/>
    </row>
    <row r="63" spans="1:25" x14ac:dyDescent="0.25">
      <c r="A63" s="2"/>
      <c r="B63" s="17">
        <f t="shared" si="1"/>
        <v>5</v>
      </c>
      <c r="C63" s="43" t="s">
        <v>314</v>
      </c>
      <c r="D63" s="44"/>
      <c r="E63" s="90">
        <f>Input!D23</f>
        <v>0.16725899999999999</v>
      </c>
      <c r="F63" s="46"/>
      <c r="G63" s="47"/>
      <c r="H63" s="48" t="s">
        <v>273</v>
      </c>
      <c r="I63" s="46"/>
      <c r="J63" s="358" t="s">
        <v>320</v>
      </c>
      <c r="K63" s="359"/>
      <c r="L63" s="359"/>
      <c r="M63" s="359"/>
      <c r="N63" s="359"/>
      <c r="O63" s="359"/>
      <c r="P63" s="360"/>
      <c r="Q63" s="2"/>
      <c r="R63" s="2"/>
      <c r="S63" s="2"/>
      <c r="T63" s="2"/>
      <c r="U63" s="2"/>
      <c r="V63" s="2"/>
      <c r="W63" s="2"/>
      <c r="X63" s="2"/>
      <c r="Y63" s="2"/>
    </row>
    <row r="64" spans="1:25" x14ac:dyDescent="0.25">
      <c r="A64" s="2"/>
      <c r="B64" s="17">
        <f t="shared" si="1"/>
        <v>5</v>
      </c>
      <c r="C64" s="43" t="s">
        <v>315</v>
      </c>
      <c r="D64" s="44"/>
      <c r="E64" s="90">
        <f>Input!D27</f>
        <v>0.16893421</v>
      </c>
      <c r="F64" s="46"/>
      <c r="G64" s="47"/>
      <c r="H64" s="48" t="s">
        <v>273</v>
      </c>
      <c r="I64" s="46"/>
      <c r="J64" s="358" t="s">
        <v>320</v>
      </c>
      <c r="K64" s="359"/>
      <c r="L64" s="359"/>
      <c r="M64" s="359"/>
      <c r="N64" s="359"/>
      <c r="O64" s="359"/>
      <c r="P64" s="360"/>
      <c r="Q64" s="2"/>
      <c r="R64" s="2"/>
      <c r="S64" s="2"/>
      <c r="T64" s="2"/>
      <c r="U64" s="2"/>
      <c r="V64" s="2"/>
      <c r="W64" s="2"/>
      <c r="X64" s="2"/>
      <c r="Y64" s="2"/>
    </row>
    <row r="65" spans="1:25" x14ac:dyDescent="0.25">
      <c r="A65" s="2"/>
      <c r="B65" s="17">
        <f t="shared" si="1"/>
        <v>5</v>
      </c>
      <c r="C65" s="43" t="s">
        <v>316</v>
      </c>
      <c r="D65" s="44"/>
      <c r="E65" s="90">
        <f>Input!D24</f>
        <v>0.17304</v>
      </c>
      <c r="F65" s="46"/>
      <c r="G65" s="47"/>
      <c r="H65" s="48" t="s">
        <v>273</v>
      </c>
      <c r="I65" s="46"/>
      <c r="J65" s="358" t="s">
        <v>320</v>
      </c>
      <c r="K65" s="359"/>
      <c r="L65" s="359"/>
      <c r="M65" s="359"/>
      <c r="N65" s="359"/>
      <c r="O65" s="359"/>
      <c r="P65" s="360"/>
      <c r="Q65" s="2"/>
      <c r="R65" s="2"/>
      <c r="S65" s="2"/>
      <c r="T65" s="2"/>
      <c r="U65" s="2"/>
      <c r="V65" s="2"/>
      <c r="W65" s="2"/>
      <c r="X65" s="2"/>
      <c r="Y65" s="2"/>
    </row>
    <row r="66" spans="1:25" x14ac:dyDescent="0.25">
      <c r="A66" s="2"/>
      <c r="B66" s="17">
        <f t="shared" si="1"/>
        <v>5</v>
      </c>
      <c r="C66" s="43" t="s">
        <v>317</v>
      </c>
      <c r="D66" s="44"/>
      <c r="E66" s="90">
        <f>Input!D26</f>
        <v>0.17496700000000001</v>
      </c>
      <c r="F66" s="46"/>
      <c r="G66" s="47"/>
      <c r="H66" s="48" t="s">
        <v>273</v>
      </c>
      <c r="I66" s="46"/>
      <c r="J66" s="358" t="s">
        <v>320</v>
      </c>
      <c r="K66" s="359"/>
      <c r="L66" s="359"/>
      <c r="M66" s="359"/>
      <c r="N66" s="359"/>
      <c r="O66" s="359"/>
      <c r="P66" s="360"/>
      <c r="Q66" s="2"/>
      <c r="R66" s="2"/>
      <c r="S66" s="2"/>
      <c r="T66" s="2"/>
      <c r="U66" s="2"/>
      <c r="V66" s="2"/>
      <c r="W66" s="2"/>
      <c r="X66" s="2"/>
      <c r="Y66" s="2"/>
    </row>
    <row r="67" spans="1:25" x14ac:dyDescent="0.25">
      <c r="A67" s="2"/>
      <c r="B67" s="17">
        <f t="shared" si="1"/>
        <v>4</v>
      </c>
      <c r="C67" s="43" t="s">
        <v>318</v>
      </c>
      <c r="D67" s="44"/>
      <c r="E67" s="90">
        <f>Input!D22</f>
        <v>8.8905850000000008E-2</v>
      </c>
      <c r="F67" s="46"/>
      <c r="G67" s="47"/>
      <c r="H67" s="48" t="s">
        <v>273</v>
      </c>
      <c r="I67" s="46"/>
      <c r="J67" s="358" t="s">
        <v>320</v>
      </c>
      <c r="K67" s="359"/>
      <c r="L67" s="359"/>
      <c r="M67" s="359"/>
      <c r="N67" s="359"/>
      <c r="O67" s="359"/>
      <c r="P67" s="360"/>
      <c r="Q67" s="2"/>
      <c r="R67" s="2"/>
      <c r="S67" s="2"/>
      <c r="T67" s="2"/>
      <c r="U67" s="2"/>
      <c r="V67" s="2"/>
      <c r="W67" s="2"/>
      <c r="X67" s="2"/>
      <c r="Y67" s="2"/>
    </row>
    <row r="68" spans="1:25" x14ac:dyDescent="0.25">
      <c r="A68" s="2"/>
      <c r="B68" s="17">
        <f t="shared" si="1"/>
        <v>12</v>
      </c>
      <c r="C68" s="43" t="str">
        <f t="shared" ref="C68:C82" si="2">LEFT(C23,LEN(C23)-4)&amp;"_mol_in_ox"</f>
        <v>Ce_mol_in_ox</v>
      </c>
      <c r="D68" s="44"/>
      <c r="E68" s="96">
        <v>1</v>
      </c>
      <c r="F68" s="46"/>
      <c r="G68" s="47"/>
      <c r="H68" s="48" t="s">
        <v>563</v>
      </c>
      <c r="I68" s="46"/>
      <c r="J68" s="358" t="s">
        <v>564</v>
      </c>
      <c r="K68" s="359"/>
      <c r="L68" s="359"/>
      <c r="M68" s="359"/>
      <c r="N68" s="359"/>
      <c r="O68" s="359"/>
      <c r="P68" s="360"/>
      <c r="Q68" s="2"/>
      <c r="R68" s="2"/>
      <c r="S68" s="2"/>
      <c r="T68" s="2"/>
      <c r="U68" s="2"/>
      <c r="V68" s="2"/>
      <c r="W68" s="2"/>
      <c r="X68" s="2"/>
      <c r="Y68" s="2"/>
    </row>
    <row r="69" spans="1:25" x14ac:dyDescent="0.25">
      <c r="A69" s="2"/>
      <c r="B69" s="17">
        <f t="shared" si="1"/>
        <v>12</v>
      </c>
      <c r="C69" s="43" t="str">
        <f t="shared" si="2"/>
        <v>La_mol_in_ox</v>
      </c>
      <c r="D69" s="44"/>
      <c r="E69" s="96">
        <v>2</v>
      </c>
      <c r="F69" s="46"/>
      <c r="G69" s="47"/>
      <c r="H69" s="48" t="s">
        <v>563</v>
      </c>
      <c r="I69" s="46"/>
      <c r="J69" s="358" t="s">
        <v>564</v>
      </c>
      <c r="K69" s="359"/>
      <c r="L69" s="359"/>
      <c r="M69" s="359"/>
      <c r="N69" s="359"/>
      <c r="O69" s="359"/>
      <c r="P69" s="360"/>
      <c r="Q69" s="2"/>
      <c r="R69" s="2"/>
      <c r="S69" s="2"/>
      <c r="T69" s="2"/>
      <c r="U69" s="2"/>
      <c r="V69" s="2"/>
      <c r="W69" s="2"/>
      <c r="X69" s="2"/>
      <c r="Y69" s="2"/>
    </row>
    <row r="70" spans="1:25" x14ac:dyDescent="0.25">
      <c r="A70" s="2"/>
      <c r="B70" s="17">
        <f t="shared" si="1"/>
        <v>12</v>
      </c>
      <c r="C70" s="43" t="str">
        <f t="shared" si="2"/>
        <v>Pr_mol_in_ox</v>
      </c>
      <c r="D70" s="44"/>
      <c r="E70" s="96">
        <v>6</v>
      </c>
      <c r="F70" s="46"/>
      <c r="G70" s="47"/>
      <c r="H70" s="48" t="s">
        <v>563</v>
      </c>
      <c r="I70" s="46"/>
      <c r="J70" s="358" t="s">
        <v>564</v>
      </c>
      <c r="K70" s="359"/>
      <c r="L70" s="359"/>
      <c r="M70" s="359"/>
      <c r="N70" s="359"/>
      <c r="O70" s="359"/>
      <c r="P70" s="360"/>
      <c r="Q70" s="2"/>
      <c r="R70" s="2"/>
      <c r="S70" s="2"/>
      <c r="T70" s="2"/>
      <c r="U70" s="2"/>
      <c r="V70" s="2"/>
      <c r="W70" s="2"/>
      <c r="X70" s="2"/>
      <c r="Y70" s="2"/>
    </row>
    <row r="71" spans="1:25" x14ac:dyDescent="0.25">
      <c r="A71" s="2"/>
      <c r="B71" s="17">
        <f t="shared" si="1"/>
        <v>12</v>
      </c>
      <c r="C71" s="43" t="str">
        <f t="shared" si="2"/>
        <v>Nd_mol_in_ox</v>
      </c>
      <c r="D71" s="44"/>
      <c r="E71" s="96">
        <v>2</v>
      </c>
      <c r="F71" s="46"/>
      <c r="G71" s="47"/>
      <c r="H71" s="48" t="s">
        <v>563</v>
      </c>
      <c r="I71" s="46"/>
      <c r="J71" s="358" t="s">
        <v>564</v>
      </c>
      <c r="K71" s="359"/>
      <c r="L71" s="359"/>
      <c r="M71" s="359"/>
      <c r="N71" s="359"/>
      <c r="O71" s="359"/>
      <c r="P71" s="360"/>
      <c r="Q71" s="2"/>
      <c r="R71" s="2"/>
      <c r="S71" s="2"/>
      <c r="T71" s="2"/>
      <c r="U71" s="2"/>
      <c r="V71" s="2"/>
      <c r="W71" s="2"/>
      <c r="X71" s="2"/>
      <c r="Y71" s="2"/>
    </row>
    <row r="72" spans="1:25" x14ac:dyDescent="0.25">
      <c r="A72" s="2"/>
      <c r="B72" s="17">
        <f t="shared" si="1"/>
        <v>12</v>
      </c>
      <c r="C72" s="43" t="str">
        <f t="shared" si="2"/>
        <v>Sm_mol_in_ox</v>
      </c>
      <c r="D72" s="44"/>
      <c r="E72" s="96">
        <v>2</v>
      </c>
      <c r="F72" s="46"/>
      <c r="G72" s="47"/>
      <c r="H72" s="48" t="s">
        <v>563</v>
      </c>
      <c r="I72" s="46"/>
      <c r="J72" s="358" t="s">
        <v>564</v>
      </c>
      <c r="K72" s="359"/>
      <c r="L72" s="359"/>
      <c r="M72" s="359"/>
      <c r="N72" s="359"/>
      <c r="O72" s="359"/>
      <c r="P72" s="360"/>
      <c r="Q72" s="2"/>
      <c r="R72" s="2"/>
      <c r="S72" s="2"/>
      <c r="T72" s="2"/>
      <c r="U72" s="2"/>
      <c r="V72" s="2"/>
      <c r="W72" s="2"/>
      <c r="X72" s="2"/>
      <c r="Y72" s="2"/>
    </row>
    <row r="73" spans="1:25" x14ac:dyDescent="0.25">
      <c r="A73" s="2"/>
      <c r="B73" s="17">
        <f t="shared" si="1"/>
        <v>12</v>
      </c>
      <c r="C73" s="43" t="str">
        <f t="shared" si="2"/>
        <v>Eu_mol_in_ox</v>
      </c>
      <c r="D73" s="44"/>
      <c r="E73" s="96">
        <v>2</v>
      </c>
      <c r="F73" s="46"/>
      <c r="G73" s="47"/>
      <c r="H73" s="48" t="s">
        <v>563</v>
      </c>
      <c r="I73" s="46"/>
      <c r="J73" s="358" t="s">
        <v>564</v>
      </c>
      <c r="K73" s="359"/>
      <c r="L73" s="359"/>
      <c r="M73" s="359"/>
      <c r="N73" s="359"/>
      <c r="O73" s="359"/>
      <c r="P73" s="360"/>
      <c r="Q73" s="2"/>
      <c r="R73" s="2"/>
      <c r="S73" s="2"/>
      <c r="T73" s="2"/>
      <c r="U73" s="2"/>
      <c r="V73" s="2"/>
      <c r="W73" s="2"/>
      <c r="X73" s="2"/>
      <c r="Y73" s="2"/>
    </row>
    <row r="74" spans="1:25" x14ac:dyDescent="0.25">
      <c r="A74" s="2"/>
      <c r="B74" s="17">
        <f t="shared" si="1"/>
        <v>12</v>
      </c>
      <c r="C74" s="43" t="str">
        <f t="shared" si="2"/>
        <v>Gd_mol_in_ox</v>
      </c>
      <c r="D74" s="44"/>
      <c r="E74" s="96">
        <v>2</v>
      </c>
      <c r="F74" s="46"/>
      <c r="G74" s="47"/>
      <c r="H74" s="48" t="s">
        <v>563</v>
      </c>
      <c r="I74" s="46"/>
      <c r="J74" s="358" t="s">
        <v>564</v>
      </c>
      <c r="K74" s="359"/>
      <c r="L74" s="359"/>
      <c r="M74" s="359"/>
      <c r="N74" s="359"/>
      <c r="O74" s="359"/>
      <c r="P74" s="360"/>
      <c r="Q74" s="2"/>
      <c r="R74" s="2"/>
      <c r="S74" s="2"/>
      <c r="T74" s="2"/>
      <c r="U74" s="2"/>
      <c r="V74" s="2"/>
      <c r="W74" s="2"/>
      <c r="X74" s="2"/>
      <c r="Y74" s="2"/>
    </row>
    <row r="75" spans="1:25" x14ac:dyDescent="0.25">
      <c r="A75" s="2"/>
      <c r="B75" s="17">
        <f t="shared" si="1"/>
        <v>12</v>
      </c>
      <c r="C75" s="43" t="str">
        <f t="shared" si="2"/>
        <v>Tb_mol_in_ox</v>
      </c>
      <c r="D75" s="44"/>
      <c r="E75" s="96">
        <v>4</v>
      </c>
      <c r="F75" s="46"/>
      <c r="G75" s="47"/>
      <c r="H75" s="48" t="s">
        <v>563</v>
      </c>
      <c r="I75" s="46"/>
      <c r="J75" s="358" t="s">
        <v>564</v>
      </c>
      <c r="K75" s="359"/>
      <c r="L75" s="359"/>
      <c r="M75" s="359"/>
      <c r="N75" s="359"/>
      <c r="O75" s="359"/>
      <c r="P75" s="360"/>
      <c r="Q75" s="2"/>
      <c r="R75" s="2"/>
      <c r="S75" s="2"/>
      <c r="T75" s="2"/>
      <c r="U75" s="2"/>
      <c r="V75" s="2"/>
      <c r="W75" s="2"/>
      <c r="X75" s="2"/>
      <c r="Y75" s="2"/>
    </row>
    <row r="76" spans="1:25" x14ac:dyDescent="0.25">
      <c r="A76" s="2"/>
      <c r="B76" s="17">
        <f t="shared" si="1"/>
        <v>12</v>
      </c>
      <c r="C76" s="43" t="str">
        <f t="shared" si="2"/>
        <v>Dy_mol_in_ox</v>
      </c>
      <c r="D76" s="44"/>
      <c r="E76" s="96">
        <v>2</v>
      </c>
      <c r="F76" s="46"/>
      <c r="G76" s="47"/>
      <c r="H76" s="48" t="s">
        <v>563</v>
      </c>
      <c r="I76" s="46"/>
      <c r="J76" s="358" t="s">
        <v>564</v>
      </c>
      <c r="K76" s="359"/>
      <c r="L76" s="359"/>
      <c r="M76" s="359"/>
      <c r="N76" s="359"/>
      <c r="O76" s="359"/>
      <c r="P76" s="360"/>
      <c r="Q76" s="2"/>
      <c r="R76" s="2"/>
      <c r="S76" s="2"/>
      <c r="T76" s="2"/>
      <c r="U76" s="2"/>
      <c r="V76" s="2"/>
      <c r="W76" s="2"/>
      <c r="X76" s="2"/>
      <c r="Y76" s="2"/>
    </row>
    <row r="77" spans="1:25" x14ac:dyDescent="0.25">
      <c r="A77" s="2"/>
      <c r="B77" s="17">
        <f t="shared" si="1"/>
        <v>12</v>
      </c>
      <c r="C77" s="43" t="str">
        <f t="shared" si="2"/>
        <v>Ho_mol_in_ox</v>
      </c>
      <c r="D77" s="44"/>
      <c r="E77" s="96">
        <v>2</v>
      </c>
      <c r="F77" s="46"/>
      <c r="G77" s="47"/>
      <c r="H77" s="48" t="s">
        <v>563</v>
      </c>
      <c r="I77" s="46"/>
      <c r="J77" s="358" t="s">
        <v>564</v>
      </c>
      <c r="K77" s="359"/>
      <c r="L77" s="359"/>
      <c r="M77" s="359"/>
      <c r="N77" s="359"/>
      <c r="O77" s="359"/>
      <c r="P77" s="360"/>
      <c r="Q77" s="2"/>
      <c r="R77" s="2"/>
      <c r="S77" s="2"/>
      <c r="T77" s="2"/>
      <c r="U77" s="2"/>
      <c r="V77" s="2"/>
      <c r="W77" s="2"/>
      <c r="X77" s="2"/>
      <c r="Y77" s="2"/>
    </row>
    <row r="78" spans="1:25" x14ac:dyDescent="0.25">
      <c r="A78" s="2"/>
      <c r="B78" s="17">
        <f t="shared" si="1"/>
        <v>12</v>
      </c>
      <c r="C78" s="43" t="str">
        <f t="shared" si="2"/>
        <v>Er_mol_in_ox</v>
      </c>
      <c r="D78" s="44"/>
      <c r="E78" s="96">
        <v>2</v>
      </c>
      <c r="F78" s="46"/>
      <c r="G78" s="47"/>
      <c r="H78" s="48" t="s">
        <v>563</v>
      </c>
      <c r="I78" s="46"/>
      <c r="J78" s="358" t="s">
        <v>564</v>
      </c>
      <c r="K78" s="359"/>
      <c r="L78" s="359"/>
      <c r="M78" s="359"/>
      <c r="N78" s="359"/>
      <c r="O78" s="359"/>
      <c r="P78" s="360"/>
      <c r="Q78" s="2"/>
      <c r="R78" s="2"/>
      <c r="S78" s="2"/>
      <c r="T78" s="2"/>
      <c r="U78" s="2"/>
      <c r="V78" s="2"/>
      <c r="W78" s="2"/>
      <c r="X78" s="2"/>
      <c r="Y78" s="2"/>
    </row>
    <row r="79" spans="1:25" x14ac:dyDescent="0.25">
      <c r="A79" s="2"/>
      <c r="B79" s="17">
        <f t="shared" si="1"/>
        <v>12</v>
      </c>
      <c r="C79" s="43" t="str">
        <f t="shared" si="2"/>
        <v>Tm_mol_in_ox</v>
      </c>
      <c r="D79" s="44"/>
      <c r="E79" s="96">
        <v>2</v>
      </c>
      <c r="F79" s="46"/>
      <c r="G79" s="47"/>
      <c r="H79" s="48" t="s">
        <v>563</v>
      </c>
      <c r="I79" s="46"/>
      <c r="J79" s="358" t="s">
        <v>564</v>
      </c>
      <c r="K79" s="359"/>
      <c r="L79" s="359"/>
      <c r="M79" s="359"/>
      <c r="N79" s="359"/>
      <c r="O79" s="359"/>
      <c r="P79" s="360"/>
      <c r="Q79" s="2"/>
      <c r="R79" s="2"/>
      <c r="S79" s="2"/>
      <c r="T79" s="2"/>
      <c r="U79" s="2"/>
      <c r="V79" s="2"/>
      <c r="W79" s="2"/>
      <c r="X79" s="2"/>
      <c r="Y79" s="2"/>
    </row>
    <row r="80" spans="1:25" x14ac:dyDescent="0.25">
      <c r="A80" s="2"/>
      <c r="B80" s="17">
        <f t="shared" si="1"/>
        <v>12</v>
      </c>
      <c r="C80" s="43" t="str">
        <f t="shared" si="2"/>
        <v>Yb_mol_in_ox</v>
      </c>
      <c r="D80" s="44"/>
      <c r="E80" s="96">
        <v>2</v>
      </c>
      <c r="F80" s="46"/>
      <c r="G80" s="47"/>
      <c r="H80" s="48" t="s">
        <v>563</v>
      </c>
      <c r="I80" s="46"/>
      <c r="J80" s="358" t="s">
        <v>564</v>
      </c>
      <c r="K80" s="359"/>
      <c r="L80" s="359"/>
      <c r="M80" s="359"/>
      <c r="N80" s="359"/>
      <c r="O80" s="359"/>
      <c r="P80" s="360"/>
      <c r="Q80" s="2"/>
      <c r="R80" s="2"/>
      <c r="S80" s="2"/>
      <c r="T80" s="2"/>
      <c r="U80" s="2"/>
      <c r="V80" s="2"/>
      <c r="W80" s="2"/>
      <c r="X80" s="2"/>
      <c r="Y80" s="2"/>
    </row>
    <row r="81" spans="1:25" x14ac:dyDescent="0.25">
      <c r="A81" s="2"/>
      <c r="B81" s="17">
        <f t="shared" si="1"/>
        <v>12</v>
      </c>
      <c r="C81" s="43" t="str">
        <f t="shared" si="2"/>
        <v>Lu_mol_in_ox</v>
      </c>
      <c r="D81" s="44"/>
      <c r="E81" s="96">
        <v>2</v>
      </c>
      <c r="F81" s="46"/>
      <c r="G81" s="47"/>
      <c r="H81" s="48" t="s">
        <v>563</v>
      </c>
      <c r="I81" s="46"/>
      <c r="J81" s="358" t="s">
        <v>564</v>
      </c>
      <c r="K81" s="359"/>
      <c r="L81" s="359"/>
      <c r="M81" s="359"/>
      <c r="N81" s="359"/>
      <c r="O81" s="359"/>
      <c r="P81" s="360"/>
      <c r="Q81" s="2"/>
      <c r="R81" s="2"/>
      <c r="S81" s="2"/>
      <c r="T81" s="2"/>
      <c r="U81" s="2"/>
      <c r="V81" s="2"/>
      <c r="W81" s="2"/>
      <c r="X81" s="2"/>
      <c r="Y81" s="2"/>
    </row>
    <row r="82" spans="1:25" x14ac:dyDescent="0.25">
      <c r="A82" s="2"/>
      <c r="B82" s="17">
        <f t="shared" si="1"/>
        <v>11</v>
      </c>
      <c r="C82" s="43" t="str">
        <f t="shared" si="2"/>
        <v>Y_mol_in_ox</v>
      </c>
      <c r="D82" s="44"/>
      <c r="E82" s="96">
        <v>2</v>
      </c>
      <c r="F82" s="46"/>
      <c r="G82" s="47"/>
      <c r="H82" s="48" t="s">
        <v>563</v>
      </c>
      <c r="I82" s="46"/>
      <c r="J82" s="358" t="s">
        <v>564</v>
      </c>
      <c r="K82" s="359"/>
      <c r="L82" s="359"/>
      <c r="M82" s="359"/>
      <c r="N82" s="359"/>
      <c r="O82" s="359"/>
      <c r="P82" s="360"/>
      <c r="Q82" s="2"/>
      <c r="R82" s="2"/>
      <c r="S82" s="2"/>
      <c r="T82" s="2"/>
      <c r="U82" s="2"/>
      <c r="V82" s="2"/>
      <c r="W82" s="2"/>
      <c r="X82" s="2"/>
      <c r="Y82" s="2"/>
    </row>
    <row r="83" spans="1:25" x14ac:dyDescent="0.25">
      <c r="A83" s="2"/>
      <c r="B83" s="17">
        <f t="shared" ref="B83" si="3">LEN(C83)</f>
        <v>13</v>
      </c>
      <c r="C83" s="301" t="s">
        <v>534</v>
      </c>
      <c r="D83" s="301"/>
      <c r="E83" s="336">
        <v>0.9</v>
      </c>
      <c r="F83" s="336">
        <f>Input!B44</f>
        <v>0.9</v>
      </c>
      <c r="G83" s="336">
        <f>Input!B45</f>
        <v>1</v>
      </c>
      <c r="H83" s="307" t="s">
        <v>250</v>
      </c>
      <c r="I83" s="301">
        <v>1</v>
      </c>
      <c r="J83" s="358" t="s">
        <v>535</v>
      </c>
      <c r="K83" s="359"/>
      <c r="L83" s="359"/>
      <c r="M83" s="359"/>
      <c r="N83" s="359"/>
      <c r="O83" s="359"/>
      <c r="P83" s="360"/>
      <c r="Q83" s="2"/>
      <c r="R83" s="2"/>
      <c r="S83" s="2"/>
      <c r="T83" s="2"/>
      <c r="U83" s="2"/>
      <c r="V83" s="2"/>
      <c r="W83" s="2"/>
      <c r="X83" s="2"/>
      <c r="Y83" s="2"/>
    </row>
    <row r="84" spans="1:25" ht="148.5" customHeight="1" x14ac:dyDescent="0.25">
      <c r="A84" s="2"/>
      <c r="B84" s="17">
        <f>LEN(C84)</f>
        <v>7</v>
      </c>
      <c r="C84" s="43" t="s">
        <v>538</v>
      </c>
      <c r="D84" s="44" t="s">
        <v>558</v>
      </c>
      <c r="E84" s="102">
        <f>(E23*E38/E53/E68+E24*E39/E54/E69+E25*E40/E55/E70+E26*E41/E56/E71+E27*E42/E57/E72+E28*E43/E58/E73+E29*E44/E59/E74+E30*E45/E60/E75+E31*E46/E61/E76+E32*E47/E62/E77+E33*E48/E63/E78+E34*E49/E64/E79+E35*E50/E65/E80+E36*E51/E66/E81+E37*E52/E67/E82)</f>
        <v>1.2699316186730119</v>
      </c>
      <c r="F84" s="46"/>
      <c r="G84" s="47"/>
      <c r="H84" s="48" t="s">
        <v>250</v>
      </c>
      <c r="I84" s="46">
        <v>2</v>
      </c>
      <c r="J84" s="358" t="s">
        <v>322</v>
      </c>
      <c r="K84" s="359"/>
      <c r="L84" s="359"/>
      <c r="M84" s="359"/>
      <c r="N84" s="359"/>
      <c r="O84" s="359"/>
      <c r="P84" s="360"/>
      <c r="Q84" s="2"/>
      <c r="R84" s="2"/>
      <c r="S84" s="2"/>
      <c r="T84" s="2"/>
      <c r="U84" s="2"/>
      <c r="V84" s="2"/>
      <c r="W84" s="2"/>
      <c r="X84" s="2"/>
      <c r="Y84" s="2"/>
    </row>
    <row r="85" spans="1:25" x14ac:dyDescent="0.25">
      <c r="A85" s="2"/>
      <c r="B85" s="17">
        <f>LEN(C85)</f>
        <v>6</v>
      </c>
      <c r="C85" s="301" t="s">
        <v>291</v>
      </c>
      <c r="D85" s="301" t="s">
        <v>542</v>
      </c>
      <c r="E85" s="310">
        <f>E84/E83</f>
        <v>1.4110351318589021</v>
      </c>
      <c r="F85" s="301"/>
      <c r="G85" s="301"/>
      <c r="H85" s="307" t="s">
        <v>250</v>
      </c>
      <c r="I85" s="301"/>
      <c r="J85" s="319" t="s">
        <v>539</v>
      </c>
      <c r="K85" s="320"/>
      <c r="L85" s="320"/>
      <c r="M85" s="320"/>
      <c r="N85" s="320"/>
      <c r="O85" s="320"/>
      <c r="P85" s="321"/>
      <c r="Q85" s="2"/>
      <c r="R85" s="2"/>
      <c r="S85" s="2"/>
      <c r="T85" s="2"/>
      <c r="U85" s="2"/>
      <c r="V85" s="2"/>
      <c r="W85" s="2"/>
      <c r="X85" s="2"/>
      <c r="Y85" s="2"/>
    </row>
    <row r="86" spans="1:25" x14ac:dyDescent="0.25">
      <c r="A86" s="2"/>
      <c r="B86" s="17">
        <f t="shared" ref="B86:B100" si="4">LEN(C86)</f>
        <v>6</v>
      </c>
      <c r="C86" s="43" t="s">
        <v>430</v>
      </c>
      <c r="D86" s="44"/>
      <c r="E86" s="90">
        <f>Electricity!J8</f>
        <v>9.166666666666666E-2</v>
      </c>
      <c r="F86" s="46"/>
      <c r="G86" s="47"/>
      <c r="H86" s="48" t="s">
        <v>237</v>
      </c>
      <c r="I86" s="46">
        <v>3</v>
      </c>
      <c r="J86" s="358" t="s">
        <v>504</v>
      </c>
      <c r="K86" s="359"/>
      <c r="L86" s="359"/>
      <c r="M86" s="359"/>
      <c r="N86" s="359"/>
      <c r="O86" s="359"/>
      <c r="P86" s="360"/>
      <c r="Q86" s="2"/>
      <c r="R86" s="2"/>
      <c r="S86" s="2"/>
      <c r="T86" s="2"/>
      <c r="U86" s="2"/>
      <c r="V86" s="2"/>
      <c r="W86" s="2"/>
      <c r="X86" s="2"/>
      <c r="Y86" s="2"/>
    </row>
    <row r="87" spans="1:25" x14ac:dyDescent="0.25">
      <c r="A87" s="2"/>
      <c r="B87" s="17">
        <f t="shared" si="4"/>
        <v>6</v>
      </c>
      <c r="C87" s="43" t="s">
        <v>431</v>
      </c>
      <c r="D87" s="44"/>
      <c r="E87" s="90">
        <f>Electricity!J9</f>
        <v>0.10555555555555556</v>
      </c>
      <c r="F87" s="46"/>
      <c r="G87" s="47"/>
      <c r="H87" s="48" t="s">
        <v>237</v>
      </c>
      <c r="I87" s="46">
        <v>3</v>
      </c>
      <c r="J87" s="358" t="s">
        <v>505</v>
      </c>
      <c r="K87" s="359"/>
      <c r="L87" s="359"/>
      <c r="M87" s="359"/>
      <c r="N87" s="359"/>
      <c r="O87" s="359"/>
      <c r="P87" s="360"/>
      <c r="Q87" s="2"/>
      <c r="R87" s="2"/>
      <c r="S87" s="2"/>
      <c r="T87" s="2"/>
      <c r="U87" s="2"/>
      <c r="V87" s="2"/>
      <c r="W87" s="2"/>
      <c r="X87" s="2"/>
      <c r="Y87" s="2"/>
    </row>
    <row r="88" spans="1:25" x14ac:dyDescent="0.25">
      <c r="A88" s="2"/>
      <c r="B88" s="17">
        <f t="shared" si="4"/>
        <v>6</v>
      </c>
      <c r="C88" s="43" t="s">
        <v>432</v>
      </c>
      <c r="D88" s="44"/>
      <c r="E88" s="90">
        <f>Electricity!J10</f>
        <v>0.1111111111111111</v>
      </c>
      <c r="F88" s="46"/>
      <c r="G88" s="47"/>
      <c r="H88" s="48" t="s">
        <v>237</v>
      </c>
      <c r="I88" s="46">
        <v>3</v>
      </c>
      <c r="J88" s="358" t="s">
        <v>506</v>
      </c>
      <c r="K88" s="359"/>
      <c r="L88" s="359"/>
      <c r="M88" s="359"/>
      <c r="N88" s="359"/>
      <c r="O88" s="359"/>
      <c r="P88" s="360"/>
      <c r="Q88" s="2"/>
      <c r="R88" s="2"/>
      <c r="S88" s="2"/>
      <c r="T88" s="2"/>
      <c r="U88" s="2"/>
      <c r="V88" s="2"/>
      <c r="W88" s="2"/>
      <c r="X88" s="2"/>
      <c r="Y88" s="2"/>
    </row>
    <row r="89" spans="1:25" x14ac:dyDescent="0.25">
      <c r="A89" s="2"/>
      <c r="B89" s="17">
        <f t="shared" si="4"/>
        <v>6</v>
      </c>
      <c r="C89" s="43" t="s">
        <v>433</v>
      </c>
      <c r="D89" s="44"/>
      <c r="E89" s="90">
        <f>Electricity!J11</f>
        <v>0.11666666666666667</v>
      </c>
      <c r="F89" s="46"/>
      <c r="G89" s="47"/>
      <c r="H89" s="48" t="s">
        <v>237</v>
      </c>
      <c r="I89" s="46">
        <v>3</v>
      </c>
      <c r="J89" s="358" t="s">
        <v>507</v>
      </c>
      <c r="K89" s="359"/>
      <c r="L89" s="359"/>
      <c r="M89" s="359"/>
      <c r="N89" s="359"/>
      <c r="O89" s="359"/>
      <c r="P89" s="360"/>
      <c r="Q89" s="2"/>
      <c r="R89" s="2"/>
      <c r="S89" s="2"/>
      <c r="T89" s="2"/>
      <c r="U89" s="2"/>
      <c r="V89" s="2"/>
      <c r="W89" s="2"/>
      <c r="X89" s="2"/>
      <c r="Y89" s="2"/>
    </row>
    <row r="90" spans="1:25" x14ac:dyDescent="0.25">
      <c r="A90" s="2"/>
      <c r="B90" s="17">
        <f t="shared" si="4"/>
        <v>6</v>
      </c>
      <c r="C90" s="43" t="s">
        <v>436</v>
      </c>
      <c r="D90" s="44"/>
      <c r="E90" s="90">
        <f>Electricity!J12</f>
        <v>0.13055555555555556</v>
      </c>
      <c r="F90" s="46"/>
      <c r="G90" s="47"/>
      <c r="H90" s="48" t="s">
        <v>237</v>
      </c>
      <c r="I90" s="46">
        <v>3</v>
      </c>
      <c r="J90" s="358" t="s">
        <v>508</v>
      </c>
      <c r="K90" s="359"/>
      <c r="L90" s="359"/>
      <c r="M90" s="359"/>
      <c r="N90" s="359"/>
      <c r="O90" s="359"/>
      <c r="P90" s="360"/>
      <c r="Q90" s="2"/>
      <c r="R90" s="2"/>
      <c r="S90" s="2"/>
      <c r="T90" s="2"/>
      <c r="U90" s="2"/>
      <c r="V90" s="2"/>
      <c r="W90" s="2"/>
      <c r="X90" s="2"/>
      <c r="Y90" s="2"/>
    </row>
    <row r="91" spans="1:25" x14ac:dyDescent="0.25">
      <c r="A91" s="2"/>
      <c r="B91" s="17">
        <f t="shared" si="4"/>
        <v>6</v>
      </c>
      <c r="C91" s="43" t="s">
        <v>437</v>
      </c>
      <c r="D91" s="44"/>
      <c r="E91" s="90">
        <f>Electricity!J13</f>
        <v>0.11666666666666667</v>
      </c>
      <c r="F91" s="46"/>
      <c r="G91" s="47"/>
      <c r="H91" s="48" t="s">
        <v>237</v>
      </c>
      <c r="I91" s="46">
        <v>3</v>
      </c>
      <c r="J91" s="358" t="s">
        <v>509</v>
      </c>
      <c r="K91" s="359"/>
      <c r="L91" s="359"/>
      <c r="M91" s="359"/>
      <c r="N91" s="359"/>
      <c r="O91" s="359"/>
      <c r="P91" s="360"/>
      <c r="Q91" s="2"/>
      <c r="R91" s="2"/>
      <c r="S91" s="2"/>
      <c r="T91" s="2"/>
      <c r="U91" s="2"/>
      <c r="V91" s="2"/>
      <c r="W91" s="2"/>
      <c r="X91" s="2"/>
      <c r="Y91" s="2"/>
    </row>
    <row r="92" spans="1:25" x14ac:dyDescent="0.25">
      <c r="A92" s="2"/>
      <c r="B92" s="17">
        <f t="shared" si="4"/>
        <v>6</v>
      </c>
      <c r="C92" s="43" t="s">
        <v>438</v>
      </c>
      <c r="D92" s="44"/>
      <c r="E92" s="90">
        <f>Electricity!J14</f>
        <v>0.16111111111111112</v>
      </c>
      <c r="F92" s="46"/>
      <c r="G92" s="47"/>
      <c r="H92" s="48" t="s">
        <v>237</v>
      </c>
      <c r="I92" s="46">
        <v>3</v>
      </c>
      <c r="J92" s="358" t="s">
        <v>510</v>
      </c>
      <c r="K92" s="359"/>
      <c r="L92" s="359"/>
      <c r="M92" s="359"/>
      <c r="N92" s="359"/>
      <c r="O92" s="359"/>
      <c r="P92" s="360"/>
      <c r="Q92" s="2"/>
      <c r="R92" s="2"/>
      <c r="S92" s="2"/>
      <c r="T92" s="2"/>
      <c r="U92" s="2"/>
      <c r="V92" s="2"/>
      <c r="W92" s="2"/>
      <c r="X92" s="2"/>
      <c r="Y92" s="2"/>
    </row>
    <row r="93" spans="1:25" x14ac:dyDescent="0.25">
      <c r="A93" s="2"/>
      <c r="B93" s="17">
        <f t="shared" si="4"/>
        <v>6</v>
      </c>
      <c r="C93" s="43" t="s">
        <v>439</v>
      </c>
      <c r="D93" s="44"/>
      <c r="E93" s="90">
        <f>Electricity!J15</f>
        <v>0.15</v>
      </c>
      <c r="F93" s="46"/>
      <c r="G93" s="47"/>
      <c r="H93" s="48" t="s">
        <v>237</v>
      </c>
      <c r="I93" s="46">
        <v>3</v>
      </c>
      <c r="J93" s="358" t="s">
        <v>511</v>
      </c>
      <c r="K93" s="359"/>
      <c r="L93" s="359"/>
      <c r="M93" s="359"/>
      <c r="N93" s="359"/>
      <c r="O93" s="359"/>
      <c r="P93" s="360"/>
      <c r="Q93" s="2"/>
      <c r="R93" s="2"/>
      <c r="S93" s="2"/>
      <c r="T93" s="2"/>
      <c r="U93" s="2"/>
      <c r="V93" s="2"/>
      <c r="W93" s="2"/>
      <c r="X93" s="2"/>
      <c r="Y93" s="2"/>
    </row>
    <row r="94" spans="1:25" x14ac:dyDescent="0.25">
      <c r="A94" s="2"/>
      <c r="B94" s="17">
        <f t="shared" si="4"/>
        <v>6</v>
      </c>
      <c r="C94" s="43" t="s">
        <v>440</v>
      </c>
      <c r="D94" s="44"/>
      <c r="E94" s="90">
        <f>Electricity!J16</f>
        <v>0.15555555555555556</v>
      </c>
      <c r="F94" s="46"/>
      <c r="G94" s="47"/>
      <c r="H94" s="48" t="s">
        <v>237</v>
      </c>
      <c r="I94" s="46">
        <v>3</v>
      </c>
      <c r="J94" s="358" t="s">
        <v>512</v>
      </c>
      <c r="K94" s="359"/>
      <c r="L94" s="359"/>
      <c r="M94" s="359"/>
      <c r="N94" s="359"/>
      <c r="O94" s="359"/>
      <c r="P94" s="360"/>
      <c r="Q94" s="2"/>
      <c r="R94" s="2"/>
      <c r="S94" s="2"/>
      <c r="T94" s="2"/>
      <c r="U94" s="2"/>
      <c r="V94" s="2"/>
      <c r="W94" s="2"/>
      <c r="X94" s="2"/>
      <c r="Y94" s="2"/>
    </row>
    <row r="95" spans="1:25" x14ac:dyDescent="0.25">
      <c r="A95" s="2"/>
      <c r="B95" s="17">
        <f t="shared" si="4"/>
        <v>6</v>
      </c>
      <c r="C95" s="43" t="s">
        <v>441</v>
      </c>
      <c r="D95" s="44"/>
      <c r="E95" s="90">
        <f>Electricity!J17</f>
        <v>0.15833333333333333</v>
      </c>
      <c r="F95" s="46"/>
      <c r="G95" s="47"/>
      <c r="H95" s="48" t="s">
        <v>237</v>
      </c>
      <c r="I95" s="46">
        <v>3</v>
      </c>
      <c r="J95" s="358" t="s">
        <v>513</v>
      </c>
      <c r="K95" s="359"/>
      <c r="L95" s="359"/>
      <c r="M95" s="359"/>
      <c r="N95" s="359"/>
      <c r="O95" s="359"/>
      <c r="P95" s="360"/>
      <c r="Q95" s="2"/>
      <c r="R95" s="2"/>
      <c r="S95" s="2"/>
      <c r="T95" s="2"/>
      <c r="U95" s="2"/>
      <c r="V95" s="2"/>
      <c r="W95" s="2"/>
      <c r="X95" s="2"/>
      <c r="Y95" s="2"/>
    </row>
    <row r="96" spans="1:25" x14ac:dyDescent="0.25">
      <c r="A96" s="2"/>
      <c r="B96" s="17">
        <f t="shared" si="4"/>
        <v>6</v>
      </c>
      <c r="C96" s="43" t="s">
        <v>442</v>
      </c>
      <c r="D96" s="44"/>
      <c r="E96" s="90">
        <f>Electricity!J18</f>
        <v>0.22222222222222221</v>
      </c>
      <c r="F96" s="46"/>
      <c r="G96" s="47"/>
      <c r="H96" s="48" t="s">
        <v>237</v>
      </c>
      <c r="I96" s="46">
        <v>3</v>
      </c>
      <c r="J96" s="358" t="s">
        <v>514</v>
      </c>
      <c r="K96" s="359"/>
      <c r="L96" s="359"/>
      <c r="M96" s="359"/>
      <c r="N96" s="359"/>
      <c r="O96" s="359"/>
      <c r="P96" s="360"/>
      <c r="Q96" s="2"/>
      <c r="R96" s="2"/>
      <c r="S96" s="2"/>
      <c r="T96" s="2"/>
      <c r="U96" s="2"/>
      <c r="V96" s="2"/>
      <c r="W96" s="2"/>
      <c r="X96" s="2"/>
      <c r="Y96" s="2"/>
    </row>
    <row r="97" spans="1:25" x14ac:dyDescent="0.25">
      <c r="A97" s="2"/>
      <c r="B97" s="17">
        <f t="shared" si="4"/>
        <v>6</v>
      </c>
      <c r="C97" s="43" t="s">
        <v>443</v>
      </c>
      <c r="D97" s="44"/>
      <c r="E97" s="90">
        <f>Electricity!J19</f>
        <v>0.19444444444444445</v>
      </c>
      <c r="F97" s="46"/>
      <c r="G97" s="47"/>
      <c r="H97" s="48" t="s">
        <v>237</v>
      </c>
      <c r="I97" s="46">
        <v>3</v>
      </c>
      <c r="J97" s="358" t="s">
        <v>515</v>
      </c>
      <c r="K97" s="359"/>
      <c r="L97" s="359"/>
      <c r="M97" s="359"/>
      <c r="N97" s="359"/>
      <c r="O97" s="359"/>
      <c r="P97" s="360"/>
      <c r="Q97" s="2"/>
      <c r="R97" s="2"/>
      <c r="S97" s="2"/>
      <c r="T97" s="2"/>
      <c r="U97" s="2"/>
      <c r="V97" s="2"/>
      <c r="W97" s="2"/>
      <c r="X97" s="2"/>
      <c r="Y97" s="2"/>
    </row>
    <row r="98" spans="1:25" x14ac:dyDescent="0.25">
      <c r="A98" s="2"/>
      <c r="B98" s="17">
        <f t="shared" si="4"/>
        <v>6</v>
      </c>
      <c r="C98" s="43" t="s">
        <v>444</v>
      </c>
      <c r="D98" s="44"/>
      <c r="E98" s="90">
        <f>Electricity!J21</f>
        <v>9.166666666666666E-2</v>
      </c>
      <c r="F98" s="46"/>
      <c r="G98" s="47"/>
      <c r="H98" s="48" t="s">
        <v>237</v>
      </c>
      <c r="I98" s="46">
        <v>3</v>
      </c>
      <c r="J98" s="358" t="s">
        <v>516</v>
      </c>
      <c r="K98" s="359"/>
      <c r="L98" s="359"/>
      <c r="M98" s="359"/>
      <c r="N98" s="359"/>
      <c r="O98" s="359"/>
      <c r="P98" s="360"/>
      <c r="Q98" s="2"/>
      <c r="R98" s="2"/>
      <c r="S98" s="2"/>
      <c r="T98" s="2"/>
      <c r="U98" s="2"/>
      <c r="V98" s="2"/>
      <c r="W98" s="2"/>
      <c r="X98" s="2"/>
      <c r="Y98" s="2"/>
    </row>
    <row r="99" spans="1:25" x14ac:dyDescent="0.25">
      <c r="A99" s="2"/>
      <c r="B99" s="17">
        <f t="shared" si="4"/>
        <v>6</v>
      </c>
      <c r="C99" s="43" t="s">
        <v>445</v>
      </c>
      <c r="D99" s="44"/>
      <c r="E99" s="90">
        <f>Electricity!J22</f>
        <v>0.20555555555555555</v>
      </c>
      <c r="F99" s="46"/>
      <c r="G99" s="47"/>
      <c r="H99" s="48" t="s">
        <v>237</v>
      </c>
      <c r="I99" s="46">
        <v>3</v>
      </c>
      <c r="J99" s="358" t="s">
        <v>517</v>
      </c>
      <c r="K99" s="359"/>
      <c r="L99" s="359"/>
      <c r="M99" s="359"/>
      <c r="N99" s="359"/>
      <c r="O99" s="359"/>
      <c r="P99" s="360"/>
      <c r="Q99" s="2"/>
      <c r="R99" s="2"/>
      <c r="S99" s="2"/>
      <c r="T99" s="2"/>
      <c r="U99" s="2"/>
      <c r="V99" s="2"/>
      <c r="W99" s="2"/>
      <c r="X99" s="2"/>
      <c r="Y99" s="2"/>
    </row>
    <row r="100" spans="1:25" x14ac:dyDescent="0.25">
      <c r="A100" s="2"/>
      <c r="B100" s="17">
        <f t="shared" si="4"/>
        <v>5</v>
      </c>
      <c r="C100" s="43" t="s">
        <v>446</v>
      </c>
      <c r="D100" s="44"/>
      <c r="E100" s="90">
        <f>Electricity!J20</f>
        <v>0.28611111111111109</v>
      </c>
      <c r="F100" s="46"/>
      <c r="G100" s="47"/>
      <c r="H100" s="48" t="s">
        <v>237</v>
      </c>
      <c r="I100" s="46">
        <v>3</v>
      </c>
      <c r="J100" s="358" t="s">
        <v>518</v>
      </c>
      <c r="K100" s="359"/>
      <c r="L100" s="359"/>
      <c r="M100" s="359"/>
      <c r="N100" s="359"/>
      <c r="O100" s="359"/>
      <c r="P100" s="360"/>
      <c r="Q100" s="2"/>
      <c r="R100" s="2"/>
      <c r="S100" s="2"/>
      <c r="T100" s="2"/>
      <c r="U100" s="2"/>
      <c r="V100" s="2"/>
      <c r="W100" s="2"/>
      <c r="X100" s="2"/>
      <c r="Y100" s="2"/>
    </row>
    <row r="101" spans="1:25" ht="55.5" customHeight="1" x14ac:dyDescent="0.25">
      <c r="A101" s="2"/>
      <c r="B101" s="17">
        <f t="shared" ref="B101:B116" si="5">LEN(C101)</f>
        <v>6</v>
      </c>
      <c r="C101" s="43" t="s">
        <v>456</v>
      </c>
      <c r="D101" s="44" t="s">
        <v>559</v>
      </c>
      <c r="E101" s="102">
        <f>E23*E86+E24*E87+E25*E88+E26*E89+E27*E90+E28*E91+E29*E92+E30*E93+E31*E94+E32*E95+E33*E96+E34*E97+E35*E98+E36*E99+E37*E100</f>
        <v>0.28611111111111109</v>
      </c>
      <c r="F101" s="46"/>
      <c r="G101" s="47"/>
      <c r="H101" s="48" t="s">
        <v>237</v>
      </c>
      <c r="I101" s="46">
        <v>3</v>
      </c>
      <c r="J101" s="358" t="s">
        <v>523</v>
      </c>
      <c r="K101" s="359"/>
      <c r="L101" s="359"/>
      <c r="M101" s="359"/>
      <c r="N101" s="359"/>
      <c r="O101" s="359"/>
      <c r="P101" s="360"/>
      <c r="Q101" s="2"/>
      <c r="R101" s="2"/>
      <c r="S101" s="2"/>
      <c r="T101" s="2"/>
      <c r="U101" s="2"/>
      <c r="V101" s="2"/>
      <c r="W101" s="2"/>
      <c r="X101" s="2"/>
      <c r="Y101" s="2"/>
    </row>
    <row r="102" spans="1:25" x14ac:dyDescent="0.25">
      <c r="A102" s="2"/>
      <c r="B102" s="17">
        <f t="shared" si="5"/>
        <v>11</v>
      </c>
      <c r="C102" s="43" t="str">
        <f t="shared" ref="C102:C116" si="6">LEFT(C38,LEN(C38)-3)&amp;"_mol_in"</f>
        <v>CeO2_mol_in</v>
      </c>
      <c r="D102" s="44" t="s">
        <v>543</v>
      </c>
      <c r="E102" s="106">
        <f>$E$85/E38*E23</f>
        <v>0</v>
      </c>
      <c r="F102" s="46"/>
      <c r="G102" s="47"/>
      <c r="H102" s="48" t="s">
        <v>503</v>
      </c>
      <c r="I102" s="46"/>
      <c r="J102" s="358" t="s">
        <v>520</v>
      </c>
      <c r="K102" s="359"/>
      <c r="L102" s="359"/>
      <c r="M102" s="359"/>
      <c r="N102" s="359"/>
      <c r="O102" s="359"/>
      <c r="P102" s="360"/>
      <c r="Q102" s="2"/>
      <c r="R102" s="2"/>
      <c r="S102" s="2"/>
      <c r="T102" s="2"/>
      <c r="U102" s="2"/>
      <c r="V102" s="2"/>
      <c r="W102" s="2"/>
      <c r="X102" s="2"/>
      <c r="Y102" s="2"/>
    </row>
    <row r="103" spans="1:25" x14ac:dyDescent="0.25">
      <c r="A103" s="2"/>
      <c r="B103" s="17">
        <f t="shared" si="5"/>
        <v>12</v>
      </c>
      <c r="C103" s="43" t="str">
        <f t="shared" si="6"/>
        <v>La2O3_mol_in</v>
      </c>
      <c r="D103" s="44" t="s">
        <v>544</v>
      </c>
      <c r="E103" s="106">
        <f t="shared" ref="E103:E116" si="7">$E$85/E39*E24</f>
        <v>0</v>
      </c>
      <c r="F103" s="46"/>
      <c r="G103" s="47"/>
      <c r="H103" s="48" t="s">
        <v>503</v>
      </c>
      <c r="I103" s="46"/>
      <c r="J103" s="358" t="s">
        <v>520</v>
      </c>
      <c r="K103" s="359"/>
      <c r="L103" s="359"/>
      <c r="M103" s="359"/>
      <c r="N103" s="359"/>
      <c r="O103" s="359"/>
      <c r="P103" s="360"/>
      <c r="Q103" s="2"/>
      <c r="R103" s="2"/>
      <c r="S103" s="2"/>
      <c r="T103" s="2"/>
      <c r="U103" s="2"/>
      <c r="V103" s="2"/>
      <c r="W103" s="2"/>
      <c r="X103" s="2"/>
      <c r="Y103" s="2"/>
    </row>
    <row r="104" spans="1:25" x14ac:dyDescent="0.25">
      <c r="A104" s="2"/>
      <c r="B104" s="17">
        <f t="shared" si="5"/>
        <v>13</v>
      </c>
      <c r="C104" s="43" t="str">
        <f t="shared" si="6"/>
        <v>Pr6O11_mol_in</v>
      </c>
      <c r="D104" s="44" t="s">
        <v>545</v>
      </c>
      <c r="E104" s="106">
        <f t="shared" si="7"/>
        <v>0</v>
      </c>
      <c r="F104" s="46"/>
      <c r="G104" s="47"/>
      <c r="H104" s="48" t="s">
        <v>503</v>
      </c>
      <c r="I104" s="46"/>
      <c r="J104" s="358" t="s">
        <v>520</v>
      </c>
      <c r="K104" s="359"/>
      <c r="L104" s="359"/>
      <c r="M104" s="359"/>
      <c r="N104" s="359"/>
      <c r="O104" s="359"/>
      <c r="P104" s="360"/>
      <c r="Q104" s="2"/>
      <c r="R104" s="2"/>
      <c r="S104" s="2"/>
      <c r="T104" s="2"/>
      <c r="U104" s="2"/>
      <c r="V104" s="2"/>
      <c r="W104" s="2"/>
      <c r="X104" s="2"/>
      <c r="Y104" s="2"/>
    </row>
    <row r="105" spans="1:25" x14ac:dyDescent="0.25">
      <c r="A105" s="2"/>
      <c r="B105" s="17">
        <f t="shared" si="5"/>
        <v>12</v>
      </c>
      <c r="C105" s="43" t="str">
        <f t="shared" si="6"/>
        <v>Nd2O3_mol_in</v>
      </c>
      <c r="D105" s="44" t="s">
        <v>546</v>
      </c>
      <c r="E105" s="106">
        <f t="shared" si="7"/>
        <v>0</v>
      </c>
      <c r="F105" s="46"/>
      <c r="G105" s="47"/>
      <c r="H105" s="48" t="s">
        <v>503</v>
      </c>
      <c r="I105" s="46"/>
      <c r="J105" s="358" t="s">
        <v>520</v>
      </c>
      <c r="K105" s="359"/>
      <c r="L105" s="359"/>
      <c r="M105" s="359"/>
      <c r="N105" s="359"/>
      <c r="O105" s="359"/>
      <c r="P105" s="360"/>
      <c r="Q105" s="2"/>
      <c r="R105" s="2"/>
      <c r="S105" s="2"/>
      <c r="T105" s="2"/>
      <c r="U105" s="2"/>
      <c r="V105" s="2"/>
      <c r="W105" s="2"/>
      <c r="X105" s="2"/>
      <c r="Y105" s="2"/>
    </row>
    <row r="106" spans="1:25" x14ac:dyDescent="0.25">
      <c r="A106" s="2"/>
      <c r="B106" s="17">
        <f t="shared" si="5"/>
        <v>12</v>
      </c>
      <c r="C106" s="43" t="str">
        <f t="shared" si="6"/>
        <v>Sm2O3_mol_in</v>
      </c>
      <c r="D106" s="44" t="s">
        <v>547</v>
      </c>
      <c r="E106" s="106">
        <f t="shared" si="7"/>
        <v>0</v>
      </c>
      <c r="F106" s="46"/>
      <c r="G106" s="47"/>
      <c r="H106" s="48" t="s">
        <v>503</v>
      </c>
      <c r="I106" s="46"/>
      <c r="J106" s="358" t="s">
        <v>520</v>
      </c>
      <c r="K106" s="359"/>
      <c r="L106" s="359"/>
      <c r="M106" s="359"/>
      <c r="N106" s="359"/>
      <c r="O106" s="359"/>
      <c r="P106" s="360"/>
      <c r="Q106" s="2"/>
      <c r="R106" s="2"/>
      <c r="S106" s="2"/>
      <c r="T106" s="2"/>
      <c r="U106" s="2"/>
      <c r="V106" s="2"/>
      <c r="W106" s="2"/>
      <c r="X106" s="2"/>
      <c r="Y106" s="2"/>
    </row>
    <row r="107" spans="1:25" x14ac:dyDescent="0.25">
      <c r="A107" s="2"/>
      <c r="B107" s="17">
        <f t="shared" si="5"/>
        <v>12</v>
      </c>
      <c r="C107" s="43" t="str">
        <f t="shared" si="6"/>
        <v>Eu2O3_mol_in</v>
      </c>
      <c r="D107" s="44" t="s">
        <v>548</v>
      </c>
      <c r="E107" s="106">
        <f t="shared" si="7"/>
        <v>0</v>
      </c>
      <c r="F107" s="46"/>
      <c r="G107" s="47"/>
      <c r="H107" s="48" t="s">
        <v>503</v>
      </c>
      <c r="I107" s="46"/>
      <c r="J107" s="358" t="s">
        <v>520</v>
      </c>
      <c r="K107" s="359"/>
      <c r="L107" s="359"/>
      <c r="M107" s="359"/>
      <c r="N107" s="359"/>
      <c r="O107" s="359"/>
      <c r="P107" s="360"/>
      <c r="Q107" s="2"/>
      <c r="R107" s="2"/>
      <c r="S107" s="2"/>
      <c r="T107" s="2"/>
      <c r="U107" s="2"/>
      <c r="V107" s="2"/>
      <c r="W107" s="2"/>
      <c r="X107" s="2"/>
      <c r="Y107" s="2"/>
    </row>
    <row r="108" spans="1:25" x14ac:dyDescent="0.25">
      <c r="A108" s="2"/>
      <c r="B108" s="17">
        <f t="shared" si="5"/>
        <v>12</v>
      </c>
      <c r="C108" s="43" t="str">
        <f t="shared" si="6"/>
        <v>Gd2O3_mol_in</v>
      </c>
      <c r="D108" s="44" t="s">
        <v>549</v>
      </c>
      <c r="E108" s="106">
        <f t="shared" si="7"/>
        <v>0</v>
      </c>
      <c r="F108" s="46"/>
      <c r="G108" s="47"/>
      <c r="H108" s="48" t="s">
        <v>503</v>
      </c>
      <c r="I108" s="46"/>
      <c r="J108" s="358" t="s">
        <v>520</v>
      </c>
      <c r="K108" s="359"/>
      <c r="L108" s="359"/>
      <c r="M108" s="359"/>
      <c r="N108" s="359"/>
      <c r="O108" s="359"/>
      <c r="P108" s="360"/>
      <c r="Q108" s="2"/>
      <c r="R108" s="2"/>
      <c r="S108" s="2"/>
      <c r="T108" s="2"/>
      <c r="U108" s="2"/>
      <c r="V108" s="2"/>
      <c r="W108" s="2"/>
      <c r="X108" s="2"/>
      <c r="Y108" s="2"/>
    </row>
    <row r="109" spans="1:25" x14ac:dyDescent="0.25">
      <c r="A109" s="2"/>
      <c r="B109" s="17">
        <f t="shared" si="5"/>
        <v>12</v>
      </c>
      <c r="C109" s="43" t="str">
        <f t="shared" si="6"/>
        <v>Tb4O7_mol_in</v>
      </c>
      <c r="D109" s="44" t="s">
        <v>550</v>
      </c>
      <c r="E109" s="106">
        <f t="shared" si="7"/>
        <v>0</v>
      </c>
      <c r="F109" s="46"/>
      <c r="G109" s="47"/>
      <c r="H109" s="48" t="s">
        <v>503</v>
      </c>
      <c r="I109" s="46"/>
      <c r="J109" s="358" t="s">
        <v>520</v>
      </c>
      <c r="K109" s="359"/>
      <c r="L109" s="359"/>
      <c r="M109" s="359"/>
      <c r="N109" s="359"/>
      <c r="O109" s="359"/>
      <c r="P109" s="360"/>
      <c r="Q109" s="2"/>
      <c r="R109" s="2"/>
      <c r="S109" s="2"/>
      <c r="T109" s="2"/>
      <c r="U109" s="2"/>
      <c r="V109" s="2"/>
      <c r="W109" s="2"/>
      <c r="X109" s="2"/>
      <c r="Y109" s="2"/>
    </row>
    <row r="110" spans="1:25" x14ac:dyDescent="0.25">
      <c r="A110" s="2"/>
      <c r="B110" s="17">
        <f t="shared" si="5"/>
        <v>12</v>
      </c>
      <c r="C110" s="43" t="str">
        <f t="shared" si="6"/>
        <v>Dy2O3_mol_in</v>
      </c>
      <c r="D110" s="44" t="s">
        <v>551</v>
      </c>
      <c r="E110" s="106">
        <f t="shared" si="7"/>
        <v>0</v>
      </c>
      <c r="F110" s="46"/>
      <c r="G110" s="47"/>
      <c r="H110" s="48" t="s">
        <v>503</v>
      </c>
      <c r="I110" s="46"/>
      <c r="J110" s="358" t="s">
        <v>520</v>
      </c>
      <c r="K110" s="359"/>
      <c r="L110" s="359"/>
      <c r="M110" s="359"/>
      <c r="N110" s="359"/>
      <c r="O110" s="359"/>
      <c r="P110" s="360"/>
      <c r="Q110" s="2"/>
      <c r="R110" s="2"/>
      <c r="S110" s="2"/>
      <c r="T110" s="2"/>
      <c r="U110" s="2"/>
      <c r="V110" s="2"/>
      <c r="W110" s="2"/>
      <c r="X110" s="2"/>
      <c r="Y110" s="2"/>
    </row>
    <row r="111" spans="1:25" x14ac:dyDescent="0.25">
      <c r="A111" s="2"/>
      <c r="B111" s="17">
        <f t="shared" si="5"/>
        <v>12</v>
      </c>
      <c r="C111" s="43" t="str">
        <f t="shared" si="6"/>
        <v>Ho2O3_mol_in</v>
      </c>
      <c r="D111" s="44" t="s">
        <v>552</v>
      </c>
      <c r="E111" s="106">
        <f t="shared" si="7"/>
        <v>0</v>
      </c>
      <c r="F111" s="46"/>
      <c r="G111" s="47"/>
      <c r="H111" s="48" t="s">
        <v>503</v>
      </c>
      <c r="I111" s="46"/>
      <c r="J111" s="358" t="s">
        <v>520</v>
      </c>
      <c r="K111" s="359"/>
      <c r="L111" s="359"/>
      <c r="M111" s="359"/>
      <c r="N111" s="359"/>
      <c r="O111" s="359"/>
      <c r="P111" s="360"/>
      <c r="Q111" s="2"/>
      <c r="R111" s="2"/>
      <c r="S111" s="2"/>
      <c r="T111" s="2"/>
      <c r="U111" s="2"/>
      <c r="V111" s="2"/>
      <c r="W111" s="2"/>
      <c r="X111" s="2"/>
      <c r="Y111" s="2"/>
    </row>
    <row r="112" spans="1:25" x14ac:dyDescent="0.25">
      <c r="A112" s="2"/>
      <c r="B112" s="17">
        <f t="shared" si="5"/>
        <v>12</v>
      </c>
      <c r="C112" s="43" t="str">
        <f t="shared" si="6"/>
        <v>Er2O3_mol_in</v>
      </c>
      <c r="D112" s="44" t="s">
        <v>553</v>
      </c>
      <c r="E112" s="106">
        <f t="shared" si="7"/>
        <v>0</v>
      </c>
      <c r="F112" s="46"/>
      <c r="G112" s="47"/>
      <c r="H112" s="48" t="s">
        <v>503</v>
      </c>
      <c r="I112" s="46"/>
      <c r="J112" s="358" t="s">
        <v>520</v>
      </c>
      <c r="K112" s="359"/>
      <c r="L112" s="359"/>
      <c r="M112" s="359"/>
      <c r="N112" s="359"/>
      <c r="O112" s="359"/>
      <c r="P112" s="360"/>
      <c r="Q112" s="2"/>
      <c r="R112" s="2"/>
      <c r="S112" s="2"/>
      <c r="T112" s="2"/>
      <c r="U112" s="2"/>
      <c r="V112" s="2"/>
      <c r="W112" s="2"/>
      <c r="X112" s="2"/>
      <c r="Y112" s="2"/>
    </row>
    <row r="113" spans="1:25" x14ac:dyDescent="0.25">
      <c r="A113" s="2"/>
      <c r="B113" s="17">
        <f t="shared" si="5"/>
        <v>12</v>
      </c>
      <c r="C113" s="43" t="str">
        <f t="shared" si="6"/>
        <v>Tm2O3_mol_in</v>
      </c>
      <c r="D113" s="44" t="s">
        <v>554</v>
      </c>
      <c r="E113" s="106">
        <f t="shared" si="7"/>
        <v>0</v>
      </c>
      <c r="F113" s="46"/>
      <c r="G113" s="47"/>
      <c r="H113" s="48" t="s">
        <v>503</v>
      </c>
      <c r="I113" s="46"/>
      <c r="J113" s="358" t="s">
        <v>520</v>
      </c>
      <c r="K113" s="359"/>
      <c r="L113" s="359"/>
      <c r="M113" s="359"/>
      <c r="N113" s="359"/>
      <c r="O113" s="359"/>
      <c r="P113" s="360"/>
      <c r="Q113" s="2"/>
      <c r="R113" s="2"/>
      <c r="S113" s="2"/>
      <c r="T113" s="2"/>
      <c r="U113" s="2"/>
      <c r="V113" s="2"/>
      <c r="W113" s="2"/>
      <c r="X113" s="2"/>
      <c r="Y113" s="2"/>
    </row>
    <row r="114" spans="1:25" x14ac:dyDescent="0.25">
      <c r="A114" s="2"/>
      <c r="B114" s="17">
        <f t="shared" si="5"/>
        <v>12</v>
      </c>
      <c r="C114" s="43" t="str">
        <f t="shared" si="6"/>
        <v>Yb2O3_mol_in</v>
      </c>
      <c r="D114" s="44" t="s">
        <v>555</v>
      </c>
      <c r="E114" s="106">
        <f t="shared" si="7"/>
        <v>0</v>
      </c>
      <c r="F114" s="46"/>
      <c r="G114" s="47"/>
      <c r="H114" s="48" t="s">
        <v>503</v>
      </c>
      <c r="I114" s="46"/>
      <c r="J114" s="358" t="s">
        <v>520</v>
      </c>
      <c r="K114" s="359"/>
      <c r="L114" s="359"/>
      <c r="M114" s="359"/>
      <c r="N114" s="359"/>
      <c r="O114" s="359"/>
      <c r="P114" s="360"/>
      <c r="Q114" s="2"/>
      <c r="R114" s="2"/>
      <c r="S114" s="2"/>
      <c r="T114" s="2"/>
      <c r="U114" s="2"/>
      <c r="V114" s="2"/>
      <c r="W114" s="2"/>
      <c r="X114" s="2"/>
      <c r="Y114" s="2"/>
    </row>
    <row r="115" spans="1:25" x14ac:dyDescent="0.25">
      <c r="A115" s="2"/>
      <c r="B115" s="17">
        <f t="shared" si="5"/>
        <v>12</v>
      </c>
      <c r="C115" s="43" t="str">
        <f t="shared" si="6"/>
        <v>Lu2O3_mol_in</v>
      </c>
      <c r="D115" s="44" t="s">
        <v>556</v>
      </c>
      <c r="E115" s="106">
        <f t="shared" si="7"/>
        <v>0</v>
      </c>
      <c r="F115" s="46"/>
      <c r="G115" s="47"/>
      <c r="H115" s="48" t="s">
        <v>503</v>
      </c>
      <c r="I115" s="46"/>
      <c r="J115" s="358" t="s">
        <v>520</v>
      </c>
      <c r="K115" s="359"/>
      <c r="L115" s="359"/>
      <c r="M115" s="359"/>
      <c r="N115" s="359"/>
      <c r="O115" s="359"/>
      <c r="P115" s="360"/>
      <c r="Q115" s="2"/>
      <c r="R115" s="2"/>
      <c r="S115" s="2"/>
      <c r="T115" s="2"/>
      <c r="U115" s="2"/>
      <c r="V115" s="2"/>
      <c r="W115" s="2"/>
      <c r="X115" s="2"/>
      <c r="Y115" s="2"/>
    </row>
    <row r="116" spans="1:25" x14ac:dyDescent="0.25">
      <c r="A116" s="2"/>
      <c r="B116" s="17">
        <f t="shared" si="5"/>
        <v>11</v>
      </c>
      <c r="C116" s="43" t="str">
        <f t="shared" si="6"/>
        <v>Y2O3_mol_in</v>
      </c>
      <c r="D116" s="44" t="s">
        <v>557</v>
      </c>
      <c r="E116" s="106">
        <f t="shared" si="7"/>
        <v>6.2488076493904003</v>
      </c>
      <c r="F116" s="46"/>
      <c r="G116" s="47"/>
      <c r="H116" s="48" t="s">
        <v>503</v>
      </c>
      <c r="I116" s="46"/>
      <c r="J116" s="358" t="s">
        <v>520</v>
      </c>
      <c r="K116" s="359"/>
      <c r="L116" s="359"/>
      <c r="M116" s="359"/>
      <c r="N116" s="359"/>
      <c r="O116" s="359"/>
      <c r="P116" s="360"/>
      <c r="Q116" s="2"/>
      <c r="R116" s="2"/>
      <c r="S116" s="2"/>
      <c r="T116" s="2"/>
      <c r="U116" s="2"/>
      <c r="V116" s="2"/>
      <c r="W116" s="2"/>
      <c r="X116" s="2"/>
      <c r="Y116" s="2"/>
    </row>
    <row r="117" spans="1:25" x14ac:dyDescent="0.25">
      <c r="A117" s="2"/>
      <c r="B117" s="17">
        <f t="shared" ref="B117:B131" si="8">LEN(C117)</f>
        <v>10</v>
      </c>
      <c r="C117" s="43" t="str">
        <f t="shared" ref="C117:C131" si="9">LEFT(C23,LEN(C23)-4)&amp;"_O_in_ox"</f>
        <v>Ce_O_in_ox</v>
      </c>
      <c r="D117" s="44"/>
      <c r="E117" s="96">
        <v>2</v>
      </c>
      <c r="F117" s="46"/>
      <c r="G117" s="47"/>
      <c r="H117" s="48" t="s">
        <v>563</v>
      </c>
      <c r="I117" s="46"/>
      <c r="J117" s="358" t="s">
        <v>519</v>
      </c>
      <c r="K117" s="359"/>
      <c r="L117" s="359"/>
      <c r="M117" s="359"/>
      <c r="N117" s="359"/>
      <c r="O117" s="359"/>
      <c r="P117" s="360"/>
      <c r="Q117" s="2"/>
      <c r="R117" s="2"/>
      <c r="S117" s="2"/>
      <c r="T117" s="2"/>
      <c r="U117" s="2"/>
      <c r="V117" s="2"/>
      <c r="W117" s="2"/>
      <c r="X117" s="2"/>
      <c r="Y117" s="2"/>
    </row>
    <row r="118" spans="1:25" x14ac:dyDescent="0.25">
      <c r="A118" s="2"/>
      <c r="B118" s="17">
        <f t="shared" si="8"/>
        <v>10</v>
      </c>
      <c r="C118" s="43" t="str">
        <f t="shared" si="9"/>
        <v>La_O_in_ox</v>
      </c>
      <c r="D118" s="44"/>
      <c r="E118" s="96">
        <v>3</v>
      </c>
      <c r="F118" s="46"/>
      <c r="G118" s="47"/>
      <c r="H118" s="48" t="s">
        <v>563</v>
      </c>
      <c r="I118" s="46"/>
      <c r="J118" s="358" t="s">
        <v>566</v>
      </c>
      <c r="K118" s="359"/>
      <c r="L118" s="359"/>
      <c r="M118" s="359"/>
      <c r="N118" s="359"/>
      <c r="O118" s="359"/>
      <c r="P118" s="360"/>
      <c r="Q118" s="2"/>
      <c r="R118" s="2"/>
      <c r="S118" s="2"/>
      <c r="T118" s="2"/>
      <c r="U118" s="2"/>
      <c r="V118" s="2"/>
      <c r="W118" s="2"/>
      <c r="X118" s="2"/>
      <c r="Y118" s="2"/>
    </row>
    <row r="119" spans="1:25" x14ac:dyDescent="0.25">
      <c r="A119" s="2"/>
      <c r="B119" s="17">
        <f t="shared" si="8"/>
        <v>10</v>
      </c>
      <c r="C119" s="43" t="str">
        <f t="shared" si="9"/>
        <v>Pr_O_in_ox</v>
      </c>
      <c r="D119" s="44"/>
      <c r="E119" s="96">
        <v>11</v>
      </c>
      <c r="F119" s="46"/>
      <c r="G119" s="47"/>
      <c r="H119" s="48" t="s">
        <v>563</v>
      </c>
      <c r="I119" s="46"/>
      <c r="J119" s="358" t="s">
        <v>566</v>
      </c>
      <c r="K119" s="359"/>
      <c r="L119" s="359"/>
      <c r="M119" s="359"/>
      <c r="N119" s="359"/>
      <c r="O119" s="359"/>
      <c r="P119" s="360"/>
      <c r="Q119" s="2"/>
      <c r="R119" s="2"/>
      <c r="S119" s="2"/>
      <c r="T119" s="2"/>
      <c r="U119" s="2"/>
      <c r="V119" s="2"/>
      <c r="W119" s="2"/>
      <c r="X119" s="2"/>
      <c r="Y119" s="2"/>
    </row>
    <row r="120" spans="1:25" x14ac:dyDescent="0.25">
      <c r="A120" s="2"/>
      <c r="B120" s="17">
        <f t="shared" si="8"/>
        <v>10</v>
      </c>
      <c r="C120" s="43" t="str">
        <f t="shared" si="9"/>
        <v>Nd_O_in_ox</v>
      </c>
      <c r="D120" s="44"/>
      <c r="E120" s="96">
        <v>3</v>
      </c>
      <c r="F120" s="46"/>
      <c r="G120" s="47"/>
      <c r="H120" s="48" t="s">
        <v>563</v>
      </c>
      <c r="I120" s="46"/>
      <c r="J120" s="358" t="s">
        <v>566</v>
      </c>
      <c r="K120" s="359"/>
      <c r="L120" s="359"/>
      <c r="M120" s="359"/>
      <c r="N120" s="359"/>
      <c r="O120" s="359"/>
      <c r="P120" s="360"/>
      <c r="Q120" s="2"/>
      <c r="R120" s="2"/>
      <c r="S120" s="2"/>
      <c r="T120" s="2"/>
      <c r="U120" s="2"/>
      <c r="V120" s="2"/>
      <c r="W120" s="2"/>
      <c r="X120" s="2"/>
      <c r="Y120" s="2"/>
    </row>
    <row r="121" spans="1:25" x14ac:dyDescent="0.25">
      <c r="A121" s="2"/>
      <c r="B121" s="17">
        <f t="shared" si="8"/>
        <v>10</v>
      </c>
      <c r="C121" s="43" t="str">
        <f t="shared" si="9"/>
        <v>Sm_O_in_ox</v>
      </c>
      <c r="D121" s="44"/>
      <c r="E121" s="96">
        <v>3</v>
      </c>
      <c r="F121" s="46"/>
      <c r="G121" s="47"/>
      <c r="H121" s="48" t="s">
        <v>563</v>
      </c>
      <c r="I121" s="46"/>
      <c r="J121" s="358" t="s">
        <v>566</v>
      </c>
      <c r="K121" s="359"/>
      <c r="L121" s="359"/>
      <c r="M121" s="359"/>
      <c r="N121" s="359"/>
      <c r="O121" s="359"/>
      <c r="P121" s="360"/>
      <c r="Q121" s="2"/>
      <c r="R121" s="2"/>
      <c r="S121" s="2"/>
      <c r="T121" s="2"/>
      <c r="U121" s="2"/>
      <c r="V121" s="2"/>
      <c r="W121" s="2"/>
      <c r="X121" s="2"/>
      <c r="Y121" s="2"/>
    </row>
    <row r="122" spans="1:25" x14ac:dyDescent="0.25">
      <c r="A122" s="2"/>
      <c r="B122" s="17">
        <f t="shared" si="8"/>
        <v>10</v>
      </c>
      <c r="C122" s="43" t="str">
        <f t="shared" si="9"/>
        <v>Eu_O_in_ox</v>
      </c>
      <c r="D122" s="44"/>
      <c r="E122" s="96">
        <v>3</v>
      </c>
      <c r="F122" s="46"/>
      <c r="G122" s="47"/>
      <c r="H122" s="48" t="s">
        <v>563</v>
      </c>
      <c r="I122" s="46"/>
      <c r="J122" s="358" t="s">
        <v>566</v>
      </c>
      <c r="K122" s="359"/>
      <c r="L122" s="359"/>
      <c r="M122" s="359"/>
      <c r="N122" s="359"/>
      <c r="O122" s="359"/>
      <c r="P122" s="360"/>
      <c r="Q122" s="2"/>
      <c r="R122" s="2"/>
      <c r="S122" s="2"/>
      <c r="T122" s="2"/>
      <c r="U122" s="2"/>
      <c r="V122" s="2"/>
      <c r="W122" s="2"/>
      <c r="X122" s="2"/>
      <c r="Y122" s="2"/>
    </row>
    <row r="123" spans="1:25" x14ac:dyDescent="0.25">
      <c r="A123" s="2"/>
      <c r="B123" s="17">
        <f t="shared" si="8"/>
        <v>10</v>
      </c>
      <c r="C123" s="43" t="str">
        <f t="shared" si="9"/>
        <v>Gd_O_in_ox</v>
      </c>
      <c r="D123" s="44"/>
      <c r="E123" s="96">
        <v>3</v>
      </c>
      <c r="F123" s="46"/>
      <c r="G123" s="47"/>
      <c r="H123" s="48" t="s">
        <v>563</v>
      </c>
      <c r="I123" s="46"/>
      <c r="J123" s="358" t="s">
        <v>566</v>
      </c>
      <c r="K123" s="359"/>
      <c r="L123" s="359"/>
      <c r="M123" s="359"/>
      <c r="N123" s="359"/>
      <c r="O123" s="359"/>
      <c r="P123" s="360"/>
      <c r="Q123" s="2"/>
      <c r="R123" s="2"/>
      <c r="S123" s="2"/>
      <c r="T123" s="2"/>
      <c r="U123" s="2"/>
      <c r="V123" s="2"/>
      <c r="W123" s="2"/>
      <c r="X123" s="2"/>
      <c r="Y123" s="2"/>
    </row>
    <row r="124" spans="1:25" x14ac:dyDescent="0.25">
      <c r="A124" s="2"/>
      <c r="B124" s="17">
        <f t="shared" si="8"/>
        <v>10</v>
      </c>
      <c r="C124" s="43" t="str">
        <f t="shared" si="9"/>
        <v>Tb_O_in_ox</v>
      </c>
      <c r="D124" s="44"/>
      <c r="E124" s="96">
        <v>7</v>
      </c>
      <c r="F124" s="46"/>
      <c r="G124" s="47"/>
      <c r="H124" s="48" t="s">
        <v>563</v>
      </c>
      <c r="I124" s="46"/>
      <c r="J124" s="358" t="s">
        <v>566</v>
      </c>
      <c r="K124" s="359"/>
      <c r="L124" s="359"/>
      <c r="M124" s="359"/>
      <c r="N124" s="359"/>
      <c r="O124" s="359"/>
      <c r="P124" s="360"/>
      <c r="Q124" s="2"/>
      <c r="R124" s="2"/>
      <c r="S124" s="2"/>
      <c r="T124" s="2"/>
      <c r="U124" s="2"/>
      <c r="V124" s="2"/>
      <c r="W124" s="2"/>
      <c r="X124" s="2"/>
      <c r="Y124" s="2"/>
    </row>
    <row r="125" spans="1:25" x14ac:dyDescent="0.25">
      <c r="A125" s="2"/>
      <c r="B125" s="17">
        <f t="shared" si="8"/>
        <v>10</v>
      </c>
      <c r="C125" s="43" t="str">
        <f t="shared" si="9"/>
        <v>Dy_O_in_ox</v>
      </c>
      <c r="D125" s="44"/>
      <c r="E125" s="96">
        <v>3</v>
      </c>
      <c r="F125" s="46"/>
      <c r="G125" s="47"/>
      <c r="H125" s="48" t="s">
        <v>563</v>
      </c>
      <c r="I125" s="46"/>
      <c r="J125" s="358" t="s">
        <v>566</v>
      </c>
      <c r="K125" s="359"/>
      <c r="L125" s="359"/>
      <c r="M125" s="359"/>
      <c r="N125" s="359"/>
      <c r="O125" s="359"/>
      <c r="P125" s="360"/>
      <c r="Q125" s="2"/>
      <c r="R125" s="2"/>
      <c r="S125" s="2"/>
      <c r="T125" s="2"/>
      <c r="U125" s="2"/>
      <c r="V125" s="2"/>
      <c r="W125" s="2"/>
      <c r="X125" s="2"/>
      <c r="Y125" s="2"/>
    </row>
    <row r="126" spans="1:25" x14ac:dyDescent="0.25">
      <c r="A126" s="2"/>
      <c r="B126" s="17">
        <f t="shared" si="8"/>
        <v>10</v>
      </c>
      <c r="C126" s="43" t="str">
        <f t="shared" si="9"/>
        <v>Ho_O_in_ox</v>
      </c>
      <c r="D126" s="44"/>
      <c r="E126" s="96">
        <v>3</v>
      </c>
      <c r="F126" s="46"/>
      <c r="G126" s="47"/>
      <c r="H126" s="48" t="s">
        <v>563</v>
      </c>
      <c r="I126" s="46"/>
      <c r="J126" s="358" t="s">
        <v>566</v>
      </c>
      <c r="K126" s="359"/>
      <c r="L126" s="359"/>
      <c r="M126" s="359"/>
      <c r="N126" s="359"/>
      <c r="O126" s="359"/>
      <c r="P126" s="360"/>
      <c r="Q126" s="2"/>
      <c r="R126" s="2"/>
      <c r="S126" s="2"/>
      <c r="T126" s="2"/>
      <c r="U126" s="2"/>
      <c r="V126" s="2"/>
      <c r="W126" s="2"/>
      <c r="X126" s="2"/>
      <c r="Y126" s="2"/>
    </row>
    <row r="127" spans="1:25" x14ac:dyDescent="0.25">
      <c r="A127" s="2"/>
      <c r="B127" s="17">
        <f t="shared" si="8"/>
        <v>10</v>
      </c>
      <c r="C127" s="43" t="str">
        <f t="shared" si="9"/>
        <v>Er_O_in_ox</v>
      </c>
      <c r="D127" s="44"/>
      <c r="E127" s="96">
        <v>3</v>
      </c>
      <c r="F127" s="46"/>
      <c r="G127" s="47"/>
      <c r="H127" s="48" t="s">
        <v>563</v>
      </c>
      <c r="I127" s="46"/>
      <c r="J127" s="358" t="s">
        <v>566</v>
      </c>
      <c r="K127" s="359"/>
      <c r="L127" s="359"/>
      <c r="M127" s="359"/>
      <c r="N127" s="359"/>
      <c r="O127" s="359"/>
      <c r="P127" s="360"/>
      <c r="Q127" s="2"/>
      <c r="R127" s="2"/>
      <c r="S127" s="2"/>
      <c r="T127" s="2"/>
      <c r="U127" s="2"/>
      <c r="V127" s="2"/>
      <c r="W127" s="2"/>
      <c r="X127" s="2"/>
      <c r="Y127" s="2"/>
    </row>
    <row r="128" spans="1:25" x14ac:dyDescent="0.25">
      <c r="A128" s="2"/>
      <c r="B128" s="17">
        <f t="shared" si="8"/>
        <v>10</v>
      </c>
      <c r="C128" s="43" t="str">
        <f t="shared" si="9"/>
        <v>Tm_O_in_ox</v>
      </c>
      <c r="D128" s="44"/>
      <c r="E128" s="96">
        <v>3</v>
      </c>
      <c r="F128" s="46"/>
      <c r="G128" s="47"/>
      <c r="H128" s="48" t="s">
        <v>563</v>
      </c>
      <c r="I128" s="46"/>
      <c r="J128" s="358" t="s">
        <v>566</v>
      </c>
      <c r="K128" s="359"/>
      <c r="L128" s="359"/>
      <c r="M128" s="359"/>
      <c r="N128" s="359"/>
      <c r="O128" s="359"/>
      <c r="P128" s="360"/>
      <c r="Q128" s="2"/>
      <c r="R128" s="2"/>
      <c r="S128" s="2"/>
      <c r="T128" s="2"/>
      <c r="U128" s="2"/>
      <c r="V128" s="2"/>
      <c r="W128" s="2"/>
      <c r="X128" s="2"/>
      <c r="Y128" s="2"/>
    </row>
    <row r="129" spans="1:25" x14ac:dyDescent="0.25">
      <c r="A129" s="2"/>
      <c r="B129" s="17">
        <f t="shared" si="8"/>
        <v>10</v>
      </c>
      <c r="C129" s="43" t="str">
        <f t="shared" si="9"/>
        <v>Yb_O_in_ox</v>
      </c>
      <c r="D129" s="44"/>
      <c r="E129" s="96">
        <v>3</v>
      </c>
      <c r="F129" s="46"/>
      <c r="G129" s="47"/>
      <c r="H129" s="48" t="s">
        <v>563</v>
      </c>
      <c r="I129" s="46"/>
      <c r="J129" s="358" t="s">
        <v>566</v>
      </c>
      <c r="K129" s="359"/>
      <c r="L129" s="359"/>
      <c r="M129" s="359"/>
      <c r="N129" s="359"/>
      <c r="O129" s="359"/>
      <c r="P129" s="360"/>
      <c r="Q129" s="2"/>
      <c r="R129" s="2"/>
      <c r="S129" s="2"/>
      <c r="T129" s="2"/>
      <c r="U129" s="2"/>
      <c r="V129" s="2"/>
      <c r="W129" s="2"/>
      <c r="X129" s="2"/>
      <c r="Y129" s="2"/>
    </row>
    <row r="130" spans="1:25" x14ac:dyDescent="0.25">
      <c r="A130" s="2"/>
      <c r="B130" s="17">
        <f t="shared" si="8"/>
        <v>10</v>
      </c>
      <c r="C130" s="43" t="str">
        <f t="shared" si="9"/>
        <v>Lu_O_in_ox</v>
      </c>
      <c r="D130" s="44"/>
      <c r="E130" s="96">
        <v>3</v>
      </c>
      <c r="F130" s="46"/>
      <c r="G130" s="47"/>
      <c r="H130" s="48" t="s">
        <v>563</v>
      </c>
      <c r="I130" s="46"/>
      <c r="J130" s="358" t="s">
        <v>566</v>
      </c>
      <c r="K130" s="359"/>
      <c r="L130" s="359"/>
      <c r="M130" s="359"/>
      <c r="N130" s="359"/>
      <c r="O130" s="359"/>
      <c r="P130" s="360"/>
      <c r="Q130" s="2"/>
      <c r="R130" s="2"/>
      <c r="S130" s="2"/>
      <c r="T130" s="2"/>
      <c r="U130" s="2"/>
      <c r="V130" s="2"/>
      <c r="W130" s="2"/>
      <c r="X130" s="2"/>
      <c r="Y130" s="2"/>
    </row>
    <row r="131" spans="1:25" x14ac:dyDescent="0.25">
      <c r="A131" s="2"/>
      <c r="B131" s="17">
        <f t="shared" si="8"/>
        <v>9</v>
      </c>
      <c r="C131" s="43" t="str">
        <f t="shared" si="9"/>
        <v>Y_O_in_ox</v>
      </c>
      <c r="D131" s="44"/>
      <c r="E131" s="96">
        <v>3</v>
      </c>
      <c r="F131" s="46"/>
      <c r="G131" s="47"/>
      <c r="H131" s="48" t="s">
        <v>563</v>
      </c>
      <c r="I131" s="46"/>
      <c r="J131" s="358" t="s">
        <v>566</v>
      </c>
      <c r="K131" s="359"/>
      <c r="L131" s="359"/>
      <c r="M131" s="359"/>
      <c r="N131" s="359"/>
      <c r="O131" s="359"/>
      <c r="P131" s="360"/>
      <c r="Q131" s="2"/>
      <c r="R131" s="2"/>
      <c r="S131" s="2"/>
      <c r="T131" s="2"/>
      <c r="U131" s="2"/>
      <c r="V131" s="2"/>
      <c r="W131" s="2"/>
      <c r="X131" s="2"/>
      <c r="Y131" s="2"/>
    </row>
    <row r="132" spans="1:25" ht="120" x14ac:dyDescent="0.25">
      <c r="A132" s="2"/>
      <c r="B132" s="17">
        <f t="shared" ref="B132" si="10">LEN(C132)</f>
        <v>10</v>
      </c>
      <c r="C132" s="301" t="s">
        <v>465</v>
      </c>
      <c r="D132" s="317" t="str">
        <f>"2*(CeO2_mol_in*Ce_O_in_ox+La_O_in_ox*La2O3_mol_in+Pr_O_in_ox*Pr6O11_mol_in+Nd_O_in_ox*Nd2O3_mol_in+Sm_O_in_ox*Sm2O3_mol_in+Eu_O_in_ox*Eu2O3_mol_in+Gd_O_in_ox*Gd2O3_mol_in+Tb_O_in_ox*Tb4O7_mol_in"&amp;"+Dy_O_in_ox*Dy2O3_mol_in+Ho_O_in_ox*Ho2O3_mol_in+Er_O_in_ox*Er2O3_mol_in+Tm_O_in_ox*Tm2O3_mol_in+Yb_O_in_ox*Yb2O3_mol_in+Lu_O_in_ox*Lu2O3_mol_in+Y_O_in_ox*Y2O3_mol_in)*"&amp;Input!G34</f>
        <v>2*(CeO2_mol_in*Ce_O_in_ox+La_O_in_ox*La2O3_mol_in+Pr_O_in_ox*Pr6O11_mol_in+Nd_O_in_ox*Nd2O3_mol_in+Sm_O_in_ox*Sm2O3_mol_in+Eu_O_in_ox*Eu2O3_mol_in+Gd_O_in_ox*Gd2O3_mol_in+Tb_O_in_ox*Tb4O7_mol_in+Dy_O_in_ox*Dy2O3_mol_in+Ho_O_in_ox*Ho2O3_mol_in+Er_O_in_ox*Er2O3_mol_in+Tm_O_in_ox*Tm2O3_mol_in+Yb_O_in_ox*Yb2O3_mol_in+Lu_O_in_ox*Lu2O3_mol_in+Y_O_in_ox*Y2O3_mol_in)*0.022999</v>
      </c>
      <c r="E132" s="106">
        <f>2*(E102*E117+E118*E103+E119*E104+E120*E105+E121*E106+E122*E107+E123*E108+E124*E109+E125*E110+E126*E111+E127*E112+E128*E113+E129*E114+E130*E115+E131*E116)*Input!G34</f>
        <v>0.86229796276997883</v>
      </c>
      <c r="F132" s="301"/>
      <c r="G132" s="301"/>
      <c r="H132" s="307" t="s">
        <v>250</v>
      </c>
      <c r="I132" s="303" t="s">
        <v>464</v>
      </c>
      <c r="J132" s="358" t="s">
        <v>567</v>
      </c>
      <c r="K132" s="359"/>
      <c r="L132" s="359"/>
      <c r="M132" s="359"/>
      <c r="N132" s="359"/>
      <c r="O132" s="359"/>
      <c r="P132" s="360"/>
      <c r="Q132" s="2"/>
      <c r="R132" s="2"/>
      <c r="S132" s="2"/>
      <c r="T132" s="2"/>
      <c r="U132" s="2"/>
      <c r="V132" s="2"/>
      <c r="W132" s="2"/>
      <c r="X132" s="2"/>
      <c r="Y132" s="2"/>
    </row>
    <row r="133" spans="1:25" ht="121.5" x14ac:dyDescent="0.35">
      <c r="A133" s="2"/>
      <c r="B133" s="17">
        <f>LEN(C133)</f>
        <v>8</v>
      </c>
      <c r="C133" s="301" t="s">
        <v>457</v>
      </c>
      <c r="D133" s="317" t="str">
        <f>"(CeO2_mol_in*Ce_O_in_ox+La_O_in_ox*La2O3_mol_in+Pr_O_in_ox*Pr6O11_mol_in+Nd_O_in_ox*Nd2O3_mol_in+Sm_O_in_ox*Sm2O3_mol_in+Eu_O_in_ox*Eu2O3_mol_in+Gd_O_in_ox*Gd2O3_mol_in+Tb_O_in_ox*Tb4O7_mol_in"&amp;"+Dy_O_in_ox*Dy2O3_mol_in+Ho_O_in_ox*Ho2O3_mol_in+Er_O_in_ox*Er2O3_mol_in+Tm_O_in_ox*Tm2O3_mol_in+Yb_O_in_ox*Yb2O3_mol_in+Lu_O_in_ox*Lu2O3_mol_in+Y_O_in_ox*Y2O3_mol_in)*"&amp;Input!J36</f>
        <v>(CeO2_mol_in*Ce_O_in_ox+La_O_in_ox*La2O3_mol_in+Pr_O_in_ox*Pr6O11_mol_in+Nd_O_in_ox*Nd2O3_mol_in+Sm_O_in_ox*Sm2O3_mol_in+Eu_O_in_ox*Eu2O3_mol_in+Gd_O_in_ox*Gd2O3_mol_in+Tb_O_in_ox*Tb4O7_mol_in+Dy_O_in_ox*Dy2O3_mol_in+Ho_O_in_ox*Ho2O3_mol_in+Er_O_in_ox*Er2O3_mol_in+Tm_O_in_ox*Tm2O3_mol_in+Yb_O_in_ox*Yb2O3_mol_in+Lu_O_in_ox*Lu2O3_mol_in+Y_O_in_ox*Y2O3_mol_in)*0.110984</v>
      </c>
      <c r="E133" s="310">
        <f>(E102*E117+E118*E103+E119*E104+E120*E105+E121*E106+E122*E107+E123*E108+E124*E109+E125*E110+E126*E111+E127*E112+E128*E113+E129*E114+E130*E115+E131*E116)*Input!J36</f>
        <v>2.0805530044798326</v>
      </c>
      <c r="F133" s="301"/>
      <c r="G133" s="301"/>
      <c r="H133" s="307" t="s">
        <v>250</v>
      </c>
      <c r="I133" s="302" t="s">
        <v>464</v>
      </c>
      <c r="J133" s="358" t="s">
        <v>568</v>
      </c>
      <c r="K133" s="359"/>
      <c r="L133" s="359"/>
      <c r="M133" s="359"/>
      <c r="N133" s="359"/>
      <c r="O133" s="359"/>
      <c r="P133" s="360"/>
      <c r="Q133" s="2"/>
      <c r="R133" s="2"/>
      <c r="S133" s="2"/>
      <c r="T133" s="2"/>
      <c r="U133" s="2"/>
      <c r="V133" s="2"/>
      <c r="W133" s="2"/>
      <c r="X133" s="2"/>
      <c r="Y133" s="2"/>
    </row>
    <row r="134" spans="1:25" ht="120" x14ac:dyDescent="0.25">
      <c r="A134" s="2"/>
      <c r="B134" s="17">
        <f t="shared" ref="B134" si="11">LEN(C134)</f>
        <v>7</v>
      </c>
      <c r="C134" s="301" t="s">
        <v>461</v>
      </c>
      <c r="D134" s="317" t="str">
        <f>"(CeO2_mol_in*Ce_O_in_ox+La_O_in_ox*La2O3_mol_in+Pr_O_in_ox*Pr6O11_mol_in+Nd_O_in_ox*Nd2O3_mol_in+Sm_O_in_ox*Sm2O3_mol_in+Eu_O_in_ox*Eu2O3_mol_in+Gd_O_in_ox*Gd2O3_mol_in"&amp;"+Tb_O_in_ox*Tb4O7_mol_in+Dy_O_in_ox*Dy2O3_mol_in+Ho_O_in_ox*Ho2O3_mol_in+Er_O_in_ox*Er2O3_mol_in+Tm_O_in_ox*Tm2O3_mol_in+Yb_O_in_ox*Yb2O3_mol_in+Lu_O_in_ox*Lu2O3_mol_in+Y_O_in_ox*Y2O3_mol_in)*"&amp;Input!J37</f>
        <v>(CeO2_mol_in*Ce_O_in_ox+La_O_in_ox*La2O3_mol_in+Pr_O_in_ox*Pr6O11_mol_in+Nd_O_in_ox*Nd2O3_mol_in+Sm_O_in_ox*Sm2O3_mol_in+Eu_O_in_ox*Eu2O3_mol_in+Gd_O_in_ox*Gd2O3_mol_in+Tb_O_in_ox*Tb4O7_mol_in+Dy_O_in_ox*Dy2O3_mol_in+Ho_O_in_ox*Ho2O3_mol_in+Er_O_in_ox*Er2O3_mol_in+Tm_O_in_ox*Tm2O3_mol_in+Yb_O_in_ox*Yb2O3_mol_in+Lu_O_in_ox*Lu2O3_mol_in+Y_O_in_ox*Y2O3_mol_in)*0.056077</v>
      </c>
      <c r="E134" s="310">
        <f>(E102*E117+E118*E103+E119*E104+E120*E105+E121*E106+E122*E107+E123*E108+E124*E109+E125*E110+E126*E111+E127*E112+E128*E113+E129*E114+E130*E115+E131*E116)*Input!J37</f>
        <v>1.0512431596645966</v>
      </c>
      <c r="F134" s="301"/>
      <c r="G134" s="301"/>
      <c r="H134" s="307" t="s">
        <v>250</v>
      </c>
      <c r="I134" s="302" t="s">
        <v>464</v>
      </c>
      <c r="J134" s="358" t="s">
        <v>569</v>
      </c>
      <c r="K134" s="359"/>
      <c r="L134" s="359"/>
      <c r="M134" s="359"/>
      <c r="N134" s="359"/>
      <c r="O134" s="359"/>
      <c r="P134" s="360"/>
      <c r="Q134" s="2"/>
      <c r="R134" s="2"/>
      <c r="S134" s="2"/>
      <c r="T134" s="2"/>
      <c r="U134" s="2"/>
      <c r="V134" s="2"/>
      <c r="W134" s="2"/>
      <c r="X134" s="2"/>
      <c r="Y134" s="2"/>
    </row>
    <row r="135" spans="1:25" ht="120" x14ac:dyDescent="0.25">
      <c r="A135" s="2"/>
      <c r="B135" s="17">
        <f>LEN(C135)</f>
        <v>8</v>
      </c>
      <c r="C135" s="301" t="s">
        <v>463</v>
      </c>
      <c r="D135" s="317" t="str">
        <f>"2*(CeO2_mol_in*Ce_O_in_ox+La_O_in_ox*La2O3_mol_in+Pr_O_in_ox*Pr6O11_mol_in+Nd_O_in_ox*Nd2O3_mol_in+Sm_O_in_ox*Sm2O3_mol_in+Eu_O_in_ox*Eu2O3_mol_in+Gd_O_in_ox*Gd2O3_mol_in"&amp;"+Tb_O_in_ox*Tb4O7_mol_in+Dy_O_in_ox*Dy2O3_mol_in+Ho_O_in_ox*Ho2O3_mol_in+Er_O_in_ox*Er2O3_mol_in+Tm_O_in_ox*Tm2O3_mol_in+Yb_O_in_ox*Yb2O3_mol_in+Lu_O_in_ox*Lu2O3_mol_in+Y_O_in_ox*Y2O3_mol_in)*"&amp;Input!J38</f>
        <v>2*(CeO2_mol_in*Ce_O_in_ox+La_O_in_ox*La2O3_mol_in+Pr_O_in_ox*Pr6O11_mol_in+Nd_O_in_ox*Nd2O3_mol_in+Sm_O_in_ox*Sm2O3_mol_in+Eu_O_in_ox*Eu2O3_mol_in+Gd_O_in_ox*Gd2O3_mol_in+Tb_O_in_ox*Tb4O7_mol_in+Dy_O_in_ox*Dy2O3_mol_in+Ho_O_in_ox*Ho2O3_mol_in+Er_O_in_ox*Er2O3_mol_in+Tm_O_in_ox*Tm2O3_mol_in+Yb_O_in_ox*Yb2O3_mol_in+Lu_O_in_ox*Lu2O3_mol_in+Y_O_in_ox*Y2O3_mol_in)*0.058452</v>
      </c>
      <c r="E135" s="310">
        <f>2*(E102*E117+E118*E103+E119*E104+E120*E105+E121*E106+E122*E107+E123*E108+E124*E109+E125*E110+E126*E111+E127*E112+E128*E113+E129*E114+E130*E115+E131*E116)*Input!J38</f>
        <v>2.1915318283330061</v>
      </c>
      <c r="F135" s="301"/>
      <c r="G135" s="301"/>
      <c r="H135" s="307" t="s">
        <v>250</v>
      </c>
      <c r="I135" s="302" t="s">
        <v>464</v>
      </c>
      <c r="J135" s="358" t="s">
        <v>570</v>
      </c>
      <c r="K135" s="359"/>
      <c r="L135" s="359"/>
      <c r="M135" s="359"/>
      <c r="N135" s="359"/>
      <c r="O135" s="359"/>
      <c r="P135" s="360"/>
      <c r="Q135" s="2"/>
      <c r="R135" s="2"/>
      <c r="S135" s="2"/>
      <c r="T135" s="2"/>
      <c r="U135" s="2"/>
      <c r="V135" s="2"/>
      <c r="W135" s="2"/>
      <c r="X135" s="2"/>
      <c r="Y135" s="2"/>
    </row>
    <row r="136" spans="1:25" x14ac:dyDescent="0.25">
      <c r="A136" s="2"/>
      <c r="B136" s="9"/>
      <c r="C136" s="49" t="s">
        <v>66</v>
      </c>
      <c r="D136" s="50" t="s">
        <v>67</v>
      </c>
      <c r="E136" s="51"/>
      <c r="F136" s="51"/>
      <c r="G136" s="51"/>
      <c r="H136" s="52"/>
      <c r="I136" s="53"/>
      <c r="J136" s="54"/>
      <c r="K136" s="54"/>
      <c r="L136" s="54"/>
      <c r="M136" s="54"/>
      <c r="N136" s="54"/>
      <c r="O136" s="54"/>
      <c r="P136" s="55"/>
      <c r="Q136" s="2"/>
      <c r="R136" s="2"/>
      <c r="S136" s="2"/>
      <c r="T136" s="2"/>
      <c r="U136" s="2"/>
      <c r="V136" s="2"/>
      <c r="W136" s="2"/>
      <c r="X136" s="2"/>
      <c r="Y136" s="2"/>
    </row>
    <row r="137" spans="1:25" ht="15.75" thickBot="1" x14ac:dyDescent="0.3">
      <c r="A137" s="2"/>
      <c r="B137" s="9"/>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thickBot="1" x14ac:dyDescent="0.3">
      <c r="A138" s="31"/>
      <c r="B138" s="369" t="s">
        <v>68</v>
      </c>
      <c r="C138" s="370"/>
      <c r="D138" s="370"/>
      <c r="E138" s="370"/>
      <c r="F138" s="370"/>
      <c r="G138" s="370"/>
      <c r="H138" s="370"/>
      <c r="I138" s="370"/>
      <c r="J138" s="370"/>
      <c r="K138" s="370"/>
      <c r="L138" s="370"/>
      <c r="M138" s="370"/>
      <c r="N138" s="370"/>
      <c r="O138" s="370"/>
      <c r="P138" s="371"/>
      <c r="Q138" s="31"/>
      <c r="R138" s="31"/>
      <c r="S138" s="31"/>
      <c r="T138" s="31"/>
      <c r="U138" s="31"/>
      <c r="V138" s="31"/>
      <c r="W138" s="31"/>
      <c r="X138" s="31"/>
      <c r="Y138" s="31"/>
    </row>
    <row r="139" spans="1:25" x14ac:dyDescent="0.25">
      <c r="A139" s="2"/>
      <c r="B139" s="9"/>
      <c r="C139" s="2"/>
      <c r="D139" s="2"/>
      <c r="E139" s="2"/>
      <c r="F139" s="2"/>
      <c r="G139" s="2"/>
      <c r="H139" s="41" t="s">
        <v>69</v>
      </c>
      <c r="I139" s="2"/>
      <c r="J139" s="2"/>
      <c r="K139" s="2"/>
      <c r="L139" s="2"/>
      <c r="M139" s="2"/>
      <c r="N139" s="2"/>
      <c r="O139" s="2"/>
      <c r="P139" s="2"/>
      <c r="Q139" s="2"/>
      <c r="R139" s="2"/>
      <c r="S139" s="2"/>
      <c r="T139" s="2"/>
      <c r="U139" s="2"/>
      <c r="V139" s="2"/>
      <c r="W139" s="2"/>
      <c r="X139" s="2"/>
      <c r="Y139" s="2"/>
    </row>
    <row r="140" spans="1:25" x14ac:dyDescent="0.25">
      <c r="A140" s="2"/>
      <c r="B140" s="9"/>
      <c r="C140" s="42" t="s">
        <v>70</v>
      </c>
      <c r="D140" s="42" t="s">
        <v>71</v>
      </c>
      <c r="E140" s="42" t="s">
        <v>60</v>
      </c>
      <c r="F140" s="42" t="s">
        <v>72</v>
      </c>
      <c r="G140" s="42" t="s">
        <v>70</v>
      </c>
      <c r="H140" s="42" t="s">
        <v>63</v>
      </c>
      <c r="I140" s="42" t="s">
        <v>73</v>
      </c>
      <c r="J140" s="42" t="s">
        <v>74</v>
      </c>
      <c r="K140" s="42" t="s">
        <v>75</v>
      </c>
      <c r="L140" s="42" t="s">
        <v>76</v>
      </c>
      <c r="M140" s="42" t="s">
        <v>64</v>
      </c>
      <c r="N140" s="380" t="s">
        <v>65</v>
      </c>
      <c r="O140" s="380"/>
      <c r="P140" s="380"/>
      <c r="Q140" s="2"/>
      <c r="R140" s="2"/>
      <c r="S140" s="2"/>
      <c r="T140" s="2"/>
      <c r="U140" s="2"/>
      <c r="V140" s="2"/>
      <c r="W140" s="2"/>
      <c r="X140" s="31"/>
      <c r="Y140" s="31"/>
    </row>
    <row r="141" spans="1:25" ht="14.25" customHeight="1" x14ac:dyDescent="0.25">
      <c r="A141" s="2"/>
      <c r="B141" s="9"/>
      <c r="C141" s="43" t="s">
        <v>456</v>
      </c>
      <c r="D141" s="56" t="s">
        <v>521</v>
      </c>
      <c r="E141" s="243">
        <v>1</v>
      </c>
      <c r="F141" s="57" t="s">
        <v>232</v>
      </c>
      <c r="G141" s="332">
        <f>IF($C141="",1,VLOOKUP($C141,$C$22:$H$136,3,FALSE))</f>
        <v>0.28611111111111109</v>
      </c>
      <c r="H141" s="59" t="str">
        <f>IF($C141="","",VLOOKUP($C141,$C$22:$H$136,6,FALSE))</f>
        <v>kWh/kg</v>
      </c>
      <c r="I141" s="252">
        <f>IF(D141="","",E141*G141*$D$5)</f>
        <v>0.28611111111111109</v>
      </c>
      <c r="J141" s="57" t="s">
        <v>232</v>
      </c>
      <c r="K141" s="60" t="s">
        <v>90</v>
      </c>
      <c r="L141" s="57" t="s">
        <v>99</v>
      </c>
      <c r="M141" s="61" t="s">
        <v>323</v>
      </c>
      <c r="N141" s="387" t="s">
        <v>476</v>
      </c>
      <c r="O141" s="387"/>
      <c r="P141" s="387"/>
      <c r="Q141" s="2"/>
      <c r="R141" s="2"/>
      <c r="S141" s="2"/>
      <c r="T141" s="2"/>
      <c r="U141" s="2"/>
      <c r="V141" s="2"/>
      <c r="W141" s="2"/>
      <c r="X141" s="31"/>
      <c r="Y141" s="31"/>
    </row>
    <row r="142" spans="1:25" x14ac:dyDescent="0.25">
      <c r="A142" s="2"/>
      <c r="B142" s="9"/>
      <c r="C142" s="43" t="s">
        <v>291</v>
      </c>
      <c r="D142" s="3" t="s">
        <v>249</v>
      </c>
      <c r="E142" s="57">
        <v>1</v>
      </c>
      <c r="F142" s="57" t="s">
        <v>42</v>
      </c>
      <c r="G142" s="332">
        <f>IF($C142="",1,VLOOKUP($C142,$C$22:$H$136,3,FALSE))</f>
        <v>1.4110351318589021</v>
      </c>
      <c r="H142" s="59" t="str">
        <f>IF($C142="","",VLOOKUP($C142,$C$22:$H$136,6,FALSE))</f>
        <v>kg/kg</v>
      </c>
      <c r="I142" s="252">
        <f t="shared" ref="I142:I145" si="12">IF(D142="","",E142*G142*$D$5)</f>
        <v>1.4110351318589021</v>
      </c>
      <c r="J142" s="57" t="s">
        <v>42</v>
      </c>
      <c r="K142" s="60" t="s">
        <v>90</v>
      </c>
      <c r="L142" s="57" t="s">
        <v>99</v>
      </c>
      <c r="M142" s="61" t="s">
        <v>344</v>
      </c>
      <c r="N142" s="387" t="s">
        <v>345</v>
      </c>
      <c r="O142" s="387"/>
      <c r="P142" s="387"/>
      <c r="Q142" s="2"/>
      <c r="R142" s="2"/>
      <c r="S142" s="2"/>
      <c r="T142" s="2"/>
      <c r="U142" s="2"/>
      <c r="V142" s="2"/>
      <c r="W142" s="2"/>
      <c r="X142" s="31"/>
      <c r="Y142" s="31"/>
    </row>
    <row r="143" spans="1:25" x14ac:dyDescent="0.25">
      <c r="A143" s="2"/>
      <c r="B143" s="9"/>
      <c r="C143" s="301" t="s">
        <v>465</v>
      </c>
      <c r="D143" s="62" t="s">
        <v>406</v>
      </c>
      <c r="E143" s="57">
        <v>1</v>
      </c>
      <c r="F143" s="57" t="s">
        <v>42</v>
      </c>
      <c r="G143" s="332">
        <f>IF($C143="",1,VLOOKUP($C143,$C$22:$H$136,3,FALSE))</f>
        <v>0.86229796276997883</v>
      </c>
      <c r="H143" s="59" t="str">
        <f>IF($C143="","",VLOOKUP($C143,$C$22:$H$136,6,FALSE))</f>
        <v>kg/kg</v>
      </c>
      <c r="I143" s="252">
        <f t="shared" si="12"/>
        <v>0.86229796276997883</v>
      </c>
      <c r="J143" s="57" t="s">
        <v>42</v>
      </c>
      <c r="K143" s="60" t="s">
        <v>90</v>
      </c>
      <c r="L143" s="57" t="s">
        <v>99</v>
      </c>
      <c r="M143" s="61">
        <v>1</v>
      </c>
      <c r="N143" s="387" t="s">
        <v>477</v>
      </c>
      <c r="O143" s="387"/>
      <c r="P143" s="387"/>
      <c r="Q143" s="2"/>
      <c r="R143" s="2"/>
      <c r="S143" s="2"/>
      <c r="T143" s="2"/>
      <c r="U143" s="2"/>
      <c r="V143" s="2"/>
      <c r="W143" s="2"/>
      <c r="X143" s="31"/>
      <c r="Y143" s="31"/>
    </row>
    <row r="144" spans="1:25" ht="18" x14ac:dyDescent="0.35">
      <c r="A144" s="2"/>
      <c r="B144" s="9"/>
      <c r="C144" s="301" t="s">
        <v>457</v>
      </c>
      <c r="D144" s="64" t="s">
        <v>470</v>
      </c>
      <c r="E144" s="57">
        <v>1</v>
      </c>
      <c r="F144" s="57" t="s">
        <v>42</v>
      </c>
      <c r="G144" s="332">
        <f>IF($C144="",1,VLOOKUP($C144,$C$22:$H$136,3,FALSE))</f>
        <v>2.0805530044798326</v>
      </c>
      <c r="H144" s="59" t="str">
        <f>IF($C144="","",VLOOKUP($C144,$C$22:$H$136,6,FALSE))</f>
        <v>kg/kg</v>
      </c>
      <c r="I144" s="252">
        <f t="shared" si="12"/>
        <v>2.0805530044798326</v>
      </c>
      <c r="J144" s="57" t="s">
        <v>42</v>
      </c>
      <c r="K144" s="60" t="s">
        <v>90</v>
      </c>
      <c r="L144" s="57" t="s">
        <v>99</v>
      </c>
      <c r="M144" s="61">
        <v>1</v>
      </c>
      <c r="N144" s="387" t="s">
        <v>478</v>
      </c>
      <c r="O144" s="387"/>
      <c r="P144" s="387"/>
      <c r="Q144" s="2"/>
      <c r="R144" s="2"/>
      <c r="S144" s="2"/>
      <c r="T144" s="2"/>
      <c r="U144" s="2"/>
      <c r="V144" s="2"/>
      <c r="W144" s="2"/>
      <c r="X144" s="31"/>
      <c r="Y144" s="31"/>
    </row>
    <row r="145" spans="1:25" x14ac:dyDescent="0.25">
      <c r="A145" s="2"/>
      <c r="B145" s="9"/>
      <c r="C145" s="63"/>
      <c r="D145" s="62"/>
      <c r="E145" s="57"/>
      <c r="F145" s="57"/>
      <c r="G145" s="58">
        <f>IF($C145="",1,VLOOKUP($C145,$C$22:$H$136,3,FALSE))</f>
        <v>1</v>
      </c>
      <c r="H145" s="59" t="str">
        <f>IF($C145="","",VLOOKUP($C145,$C$22:$H$136,6,FALSE))</f>
        <v/>
      </c>
      <c r="I145" s="252" t="str">
        <f t="shared" si="12"/>
        <v/>
      </c>
      <c r="J145" s="57"/>
      <c r="K145" s="60"/>
      <c r="L145" s="57"/>
      <c r="M145" s="61"/>
      <c r="N145" s="387"/>
      <c r="O145" s="387"/>
      <c r="P145" s="387"/>
      <c r="Q145" s="2"/>
      <c r="R145" s="2"/>
      <c r="S145" s="2"/>
      <c r="T145" s="2"/>
      <c r="U145" s="2"/>
      <c r="V145" s="2"/>
      <c r="W145" s="2"/>
      <c r="X145" s="31"/>
      <c r="Y145" s="31"/>
    </row>
    <row r="146" spans="1:25" x14ac:dyDescent="0.25">
      <c r="A146" s="2"/>
      <c r="B146" s="9"/>
      <c r="C146" s="65" t="s">
        <v>66</v>
      </c>
      <c r="D146" s="50" t="s">
        <v>67</v>
      </c>
      <c r="E146" s="66" t="s">
        <v>77</v>
      </c>
      <c r="F146" s="50"/>
      <c r="G146" s="50"/>
      <c r="H146" s="50"/>
      <c r="I146" s="66" t="s">
        <v>78</v>
      </c>
      <c r="J146" s="50"/>
      <c r="K146" s="66"/>
      <c r="L146" s="50" t="s">
        <v>79</v>
      </c>
      <c r="M146" s="67"/>
      <c r="N146" s="388"/>
      <c r="O146" s="388"/>
      <c r="P146" s="388"/>
      <c r="Q146" s="2"/>
      <c r="R146" s="2"/>
      <c r="S146" s="2"/>
      <c r="T146" s="2"/>
      <c r="U146" s="2"/>
      <c r="V146" s="2"/>
      <c r="W146" s="2"/>
      <c r="X146" s="31"/>
      <c r="Y146" s="31"/>
    </row>
    <row r="147" spans="1:25" ht="15.75" thickBot="1" x14ac:dyDescent="0.3">
      <c r="A147" s="2"/>
      <c r="B147" s="9"/>
      <c r="C147" s="2"/>
      <c r="D147" s="2"/>
      <c r="E147" s="2"/>
      <c r="F147" s="2"/>
      <c r="G147" s="2"/>
      <c r="H147" s="2"/>
      <c r="I147" s="2"/>
      <c r="J147" s="2"/>
      <c r="K147" s="2"/>
      <c r="L147" s="2"/>
      <c r="M147" s="2"/>
      <c r="N147" s="2"/>
      <c r="O147" s="2"/>
      <c r="P147" s="2"/>
      <c r="Q147" s="2"/>
      <c r="R147" s="2"/>
      <c r="S147" s="2"/>
      <c r="T147" s="2"/>
      <c r="U147" s="2"/>
      <c r="V147" s="2"/>
      <c r="W147" s="2"/>
      <c r="X147" s="31"/>
      <c r="Y147" s="31"/>
    </row>
    <row r="148" spans="1:25" ht="15.75" thickBot="1" x14ac:dyDescent="0.3">
      <c r="A148" s="31"/>
      <c r="B148" s="369" t="s">
        <v>80</v>
      </c>
      <c r="C148" s="370"/>
      <c r="D148" s="370"/>
      <c r="E148" s="370"/>
      <c r="F148" s="370"/>
      <c r="G148" s="370"/>
      <c r="H148" s="370"/>
      <c r="I148" s="370"/>
      <c r="J148" s="370"/>
      <c r="K148" s="370"/>
      <c r="L148" s="370"/>
      <c r="M148" s="370"/>
      <c r="N148" s="370"/>
      <c r="O148" s="370"/>
      <c r="P148" s="371"/>
      <c r="Q148" s="31"/>
      <c r="R148" s="31"/>
      <c r="S148" s="31"/>
      <c r="T148" s="31"/>
      <c r="U148" s="31"/>
      <c r="V148" s="31"/>
      <c r="W148" s="31"/>
      <c r="X148" s="31"/>
      <c r="Y148" s="31"/>
    </row>
    <row r="149" spans="1:25" x14ac:dyDescent="0.25">
      <c r="A149" s="2"/>
      <c r="B149" s="9"/>
      <c r="C149" s="2"/>
      <c r="D149" s="2"/>
      <c r="E149" s="2"/>
      <c r="F149" s="2"/>
      <c r="G149" s="2"/>
      <c r="H149" s="41" t="s">
        <v>81</v>
      </c>
      <c r="I149" s="2"/>
      <c r="J149" s="2"/>
      <c r="K149" s="2"/>
      <c r="L149" s="2"/>
      <c r="M149" s="2"/>
      <c r="N149" s="2"/>
      <c r="O149" s="2"/>
      <c r="P149" s="2"/>
      <c r="Q149" s="2"/>
      <c r="R149" s="2"/>
      <c r="S149" s="2"/>
      <c r="T149" s="2"/>
      <c r="U149" s="2"/>
      <c r="V149" s="2"/>
      <c r="W149" s="2"/>
      <c r="X149" s="31"/>
      <c r="Y149" s="31"/>
    </row>
    <row r="150" spans="1:25" x14ac:dyDescent="0.25">
      <c r="A150" s="2"/>
      <c r="B150" s="9"/>
      <c r="C150" s="42" t="s">
        <v>70</v>
      </c>
      <c r="D150" s="42" t="s">
        <v>71</v>
      </c>
      <c r="E150" s="42" t="s">
        <v>60</v>
      </c>
      <c r="F150" s="42" t="s">
        <v>72</v>
      </c>
      <c r="G150" s="42" t="s">
        <v>70</v>
      </c>
      <c r="H150" s="42" t="s">
        <v>63</v>
      </c>
      <c r="I150" s="42" t="s">
        <v>73</v>
      </c>
      <c r="J150" s="42" t="s">
        <v>74</v>
      </c>
      <c r="K150" s="42" t="s">
        <v>75</v>
      </c>
      <c r="L150" s="42" t="s">
        <v>76</v>
      </c>
      <c r="M150" s="42" t="s">
        <v>64</v>
      </c>
      <c r="N150" s="380" t="s">
        <v>65</v>
      </c>
      <c r="O150" s="380"/>
      <c r="P150" s="380"/>
      <c r="Q150" s="2"/>
      <c r="R150" s="2"/>
      <c r="S150" s="2"/>
      <c r="T150" s="2"/>
      <c r="U150" s="2"/>
      <c r="V150" s="2"/>
      <c r="W150" s="2"/>
      <c r="X150" s="31"/>
      <c r="Y150" s="31"/>
    </row>
    <row r="151" spans="1:25" x14ac:dyDescent="0.25">
      <c r="A151" s="2"/>
      <c r="B151" s="9"/>
      <c r="C151" s="68"/>
      <c r="D151" s="69" t="s">
        <v>251</v>
      </c>
      <c r="E151" s="70">
        <v>1</v>
      </c>
      <c r="F151" s="70" t="s">
        <v>42</v>
      </c>
      <c r="G151" s="58">
        <f>IF($C151="",1,VLOOKUP($C151,$C$22:$H$136,3,FALSE))</f>
        <v>1</v>
      </c>
      <c r="H151" s="59" t="str">
        <f>IF($C151="","",VLOOKUP($C151,$C$22:$H$136,6,FALSE))</f>
        <v/>
      </c>
      <c r="I151" s="252">
        <f>IF(D151="","",E151*G151*$D$5)</f>
        <v>1</v>
      </c>
      <c r="J151" s="70" t="s">
        <v>42</v>
      </c>
      <c r="K151" s="60" t="s">
        <v>90</v>
      </c>
      <c r="L151" s="57"/>
      <c r="M151" s="248"/>
      <c r="N151" s="392" t="s">
        <v>467</v>
      </c>
      <c r="O151" s="392"/>
      <c r="P151" s="392"/>
      <c r="Q151" s="2"/>
      <c r="R151" s="2"/>
      <c r="S151" s="2"/>
      <c r="T151" s="2"/>
      <c r="U151" s="2"/>
      <c r="V151" s="2"/>
      <c r="W151" s="2"/>
      <c r="X151" s="31"/>
      <c r="Y151" s="31"/>
    </row>
    <row r="152" spans="1:25" x14ac:dyDescent="0.25">
      <c r="A152" s="2"/>
      <c r="B152" s="9"/>
      <c r="C152" s="68" t="s">
        <v>463</v>
      </c>
      <c r="D152" s="71" t="s">
        <v>487</v>
      </c>
      <c r="E152" s="70">
        <v>1</v>
      </c>
      <c r="F152" s="70" t="s">
        <v>42</v>
      </c>
      <c r="G152" s="58">
        <f>IF($C152="",1,VLOOKUP($C152,$C$22:$H$136,3,FALSE))</f>
        <v>2.1915318283330061</v>
      </c>
      <c r="H152" s="59" t="str">
        <f>IF($C152="","",VLOOKUP($C152,$C$22:$H$136,6,FALSE))</f>
        <v>kg/kg</v>
      </c>
      <c r="I152" s="252">
        <f>IF(D152="","",E152*G152*$D$5)</f>
        <v>2.1915318283330061</v>
      </c>
      <c r="J152" s="70" t="s">
        <v>42</v>
      </c>
      <c r="K152" s="60" t="s">
        <v>90</v>
      </c>
      <c r="L152" s="57" t="s">
        <v>94</v>
      </c>
      <c r="M152" s="248">
        <v>1</v>
      </c>
      <c r="N152" s="389" t="s">
        <v>466</v>
      </c>
      <c r="O152" s="390"/>
      <c r="P152" s="391"/>
      <c r="Q152" s="2"/>
      <c r="R152" s="2"/>
      <c r="S152" s="2"/>
      <c r="T152" s="2"/>
      <c r="U152" s="2"/>
      <c r="V152" s="2"/>
      <c r="W152" s="2"/>
      <c r="X152" s="31"/>
      <c r="Y152" s="31"/>
    </row>
    <row r="153" spans="1:25" x14ac:dyDescent="0.25">
      <c r="A153" s="2"/>
      <c r="B153" s="9"/>
      <c r="C153" s="63" t="s">
        <v>461</v>
      </c>
      <c r="D153" s="71" t="s">
        <v>488</v>
      </c>
      <c r="E153" s="70">
        <v>1</v>
      </c>
      <c r="F153" s="70" t="s">
        <v>42</v>
      </c>
      <c r="G153" s="58">
        <f>IF($C153="",1,VLOOKUP($C153,$C$22:$H$136,3,FALSE))</f>
        <v>1.0512431596645966</v>
      </c>
      <c r="H153" s="59" t="str">
        <f>IF($C153="","",VLOOKUP($C153,$C$22:$H$136,6,FALSE))</f>
        <v>kg/kg</v>
      </c>
      <c r="I153" s="252">
        <f t="shared" ref="I153:I154" si="13">IF(D153="","",E153*G153*$D$5)</f>
        <v>1.0512431596645966</v>
      </c>
      <c r="J153" s="70" t="s">
        <v>42</v>
      </c>
      <c r="K153" s="60" t="s">
        <v>90</v>
      </c>
      <c r="L153" s="57" t="s">
        <v>94</v>
      </c>
      <c r="M153" s="61">
        <v>1</v>
      </c>
      <c r="N153" s="392" t="s">
        <v>466</v>
      </c>
      <c r="O153" s="392"/>
      <c r="P153" s="392"/>
      <c r="Q153" s="2"/>
      <c r="R153" s="2"/>
      <c r="S153" s="2"/>
      <c r="T153" s="2"/>
      <c r="U153" s="2"/>
      <c r="V153" s="2"/>
      <c r="W153" s="2"/>
      <c r="X153" s="31"/>
      <c r="Y153" s="31"/>
    </row>
    <row r="154" spans="1:25" x14ac:dyDescent="0.25">
      <c r="A154" s="2"/>
      <c r="B154" s="9"/>
      <c r="C154" s="63"/>
      <c r="D154" s="71"/>
      <c r="E154" s="63"/>
      <c r="F154" s="70"/>
      <c r="G154" s="58">
        <f>IF($C154="",1,VLOOKUP($C154,$C$22:$H$136,3,FALSE))</f>
        <v>1</v>
      </c>
      <c r="H154" s="59" t="str">
        <f>IF($C154="","",VLOOKUP($C154,$C$22:$H$136,6,FALSE))</f>
        <v/>
      </c>
      <c r="I154" s="252" t="str">
        <f t="shared" si="13"/>
        <v/>
      </c>
      <c r="J154" s="70"/>
      <c r="K154" s="60"/>
      <c r="L154" s="57"/>
      <c r="M154" s="61"/>
      <c r="N154" s="389"/>
      <c r="O154" s="390"/>
      <c r="P154" s="391"/>
      <c r="Q154" s="2"/>
      <c r="R154" s="2"/>
      <c r="S154" s="2"/>
      <c r="T154" s="2"/>
      <c r="U154" s="2"/>
      <c r="V154" s="2"/>
      <c r="W154" s="2"/>
      <c r="X154" s="31"/>
      <c r="Y154" s="31"/>
    </row>
    <row r="155" spans="1:25" x14ac:dyDescent="0.25">
      <c r="A155" s="2"/>
      <c r="B155" s="9"/>
      <c r="C155" s="65" t="s">
        <v>66</v>
      </c>
      <c r="D155" s="72" t="s">
        <v>67</v>
      </c>
      <c r="E155" s="66" t="s">
        <v>77</v>
      </c>
      <c r="F155" s="50"/>
      <c r="G155" s="73"/>
      <c r="H155" s="74"/>
      <c r="I155" s="74"/>
      <c r="J155" s="50"/>
      <c r="K155" s="66"/>
      <c r="L155" s="50" t="s">
        <v>79</v>
      </c>
      <c r="M155" s="67"/>
      <c r="N155" s="388"/>
      <c r="O155" s="388"/>
      <c r="P155" s="388"/>
      <c r="Q155" s="2"/>
      <c r="R155" s="2"/>
      <c r="S155" s="2"/>
      <c r="T155" s="2"/>
      <c r="U155" s="2"/>
      <c r="V155" s="2"/>
      <c r="W155" s="2"/>
      <c r="X155" s="31"/>
      <c r="Y155" s="31"/>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31"/>
      <c r="Y156" s="31"/>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9"/>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9"/>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9"/>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9"/>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9"/>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2"/>
      <c r="B200" s="9"/>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5">
      <c r="A201" s="2"/>
      <c r="B201" s="9"/>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5">
      <c r="A202" s="2"/>
      <c r="B202" s="9"/>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5">
      <c r="A203" s="2"/>
      <c r="B203" s="9"/>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5">
      <c r="A204" s="2"/>
      <c r="B204" s="9"/>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5">
      <c r="A205" s="2"/>
      <c r="B205" s="9"/>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5">
      <c r="A206" s="2"/>
      <c r="B206" s="9"/>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5">
      <c r="A207" s="2"/>
      <c r="B207" s="9"/>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5">
      <c r="A208" s="2"/>
      <c r="B208" s="9"/>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5">
      <c r="A209" s="2"/>
      <c r="B209" s="9"/>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9"/>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5">
      <c r="A211" s="2"/>
      <c r="B211" s="75" t="s">
        <v>82</v>
      </c>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5">
      <c r="A212" s="9"/>
      <c r="B212" s="9"/>
      <c r="C212" s="9" t="s">
        <v>83</v>
      </c>
      <c r="D212" s="9" t="s">
        <v>84</v>
      </c>
      <c r="E212" s="9" t="s">
        <v>85</v>
      </c>
      <c r="F212" s="9"/>
      <c r="G212" s="9"/>
      <c r="H212" s="9" t="s">
        <v>76</v>
      </c>
      <c r="I212" s="9"/>
      <c r="J212" s="9" t="s">
        <v>75</v>
      </c>
      <c r="K212" s="9"/>
      <c r="L212" s="9"/>
      <c r="M212" s="9"/>
      <c r="N212" s="9"/>
      <c r="O212" s="9"/>
      <c r="P212" s="9"/>
      <c r="Q212" s="9"/>
      <c r="R212" s="9"/>
      <c r="S212" s="9"/>
      <c r="T212" s="9"/>
      <c r="U212" s="9"/>
      <c r="V212" s="9"/>
      <c r="W212" s="9"/>
      <c r="X212" s="9"/>
      <c r="Y212" s="9"/>
    </row>
    <row r="213" spans="1:25" x14ac:dyDescent="0.25">
      <c r="A213" s="2"/>
      <c r="B213" s="9"/>
      <c r="C213" s="76" t="s">
        <v>79</v>
      </c>
      <c r="D213" s="76" t="s">
        <v>79</v>
      </c>
      <c r="E213" s="76" t="s">
        <v>79</v>
      </c>
      <c r="F213" s="2"/>
      <c r="G213" s="2"/>
      <c r="H213" s="76" t="s">
        <v>79</v>
      </c>
      <c r="I213" s="2"/>
      <c r="J213" s="2"/>
      <c r="K213" s="2"/>
      <c r="L213" s="2"/>
      <c r="M213" s="2"/>
      <c r="N213" s="2"/>
      <c r="O213" s="2"/>
      <c r="P213" s="2"/>
      <c r="Q213" s="2"/>
      <c r="R213" s="2"/>
      <c r="S213" s="2"/>
      <c r="T213" s="2"/>
      <c r="U213" s="2"/>
      <c r="V213" s="2"/>
      <c r="W213" s="2"/>
      <c r="X213" s="2"/>
      <c r="Y213" s="2"/>
    </row>
    <row r="214" spans="1:25" x14ac:dyDescent="0.25">
      <c r="A214" s="2"/>
      <c r="B214" s="9"/>
      <c r="C214" s="17" t="s">
        <v>86</v>
      </c>
      <c r="D214" s="2" t="s">
        <v>87</v>
      </c>
      <c r="E214" s="2" t="s">
        <v>88</v>
      </c>
      <c r="F214" s="2"/>
      <c r="G214" s="2"/>
      <c r="H214" s="2" t="s">
        <v>89</v>
      </c>
      <c r="I214" s="2"/>
      <c r="J214" s="2" t="s">
        <v>90</v>
      </c>
      <c r="K214" s="2"/>
      <c r="L214" s="2"/>
      <c r="M214" s="2"/>
      <c r="N214" s="2"/>
      <c r="O214" s="2"/>
      <c r="P214" s="2"/>
      <c r="Q214" s="2"/>
      <c r="R214" s="2"/>
      <c r="S214" s="2"/>
      <c r="T214" s="2"/>
      <c r="U214" s="2"/>
      <c r="V214" s="2"/>
      <c r="W214" s="2"/>
      <c r="X214" s="2"/>
      <c r="Y214" s="2"/>
    </row>
    <row r="215" spans="1:25" x14ac:dyDescent="0.25">
      <c r="A215" s="2"/>
      <c r="B215" s="9"/>
      <c r="C215" s="2" t="s">
        <v>91</v>
      </c>
      <c r="D215" s="2" t="s">
        <v>92</v>
      </c>
      <c r="E215" s="2" t="s">
        <v>93</v>
      </c>
      <c r="F215" s="2"/>
      <c r="G215" s="2"/>
      <c r="H215" s="2" t="s">
        <v>94</v>
      </c>
      <c r="I215" s="2"/>
      <c r="J215" s="2" t="s">
        <v>95</v>
      </c>
      <c r="K215" s="2"/>
      <c r="L215" s="2"/>
      <c r="M215" s="2"/>
      <c r="N215" s="2"/>
      <c r="O215" s="2"/>
      <c r="P215" s="2"/>
      <c r="Q215" s="2"/>
      <c r="R215" s="2"/>
      <c r="S215" s="2"/>
      <c r="T215" s="2"/>
      <c r="U215" s="2"/>
      <c r="V215" s="2"/>
      <c r="W215" s="2"/>
      <c r="X215" s="2"/>
      <c r="Y215" s="2"/>
    </row>
    <row r="216" spans="1:25" x14ac:dyDescent="0.25">
      <c r="A216" s="2"/>
      <c r="B216" s="9"/>
      <c r="C216" s="2" t="s">
        <v>96</v>
      </c>
      <c r="D216" s="2" t="s">
        <v>97</v>
      </c>
      <c r="E216" s="2" t="s">
        <v>98</v>
      </c>
      <c r="F216" s="2"/>
      <c r="G216" s="2"/>
      <c r="H216" s="2" t="s">
        <v>99</v>
      </c>
      <c r="I216" s="2"/>
      <c r="J216" s="2"/>
      <c r="K216" s="2"/>
      <c r="L216" s="2"/>
      <c r="M216" s="2"/>
      <c r="N216" s="2"/>
      <c r="O216" s="2"/>
      <c r="P216" s="2"/>
      <c r="Q216" s="2"/>
      <c r="R216" s="2"/>
      <c r="S216" s="2"/>
      <c r="T216" s="2"/>
      <c r="U216" s="2"/>
      <c r="V216" s="2"/>
      <c r="W216" s="2"/>
      <c r="X216" s="2"/>
      <c r="Y216" s="2"/>
    </row>
    <row r="217" spans="1:25" x14ac:dyDescent="0.25">
      <c r="A217" s="2"/>
      <c r="B217" s="9"/>
      <c r="C217" s="2" t="s">
        <v>100</v>
      </c>
      <c r="D217" s="2" t="s">
        <v>101</v>
      </c>
      <c r="E217" s="2" t="s">
        <v>102</v>
      </c>
      <c r="F217" s="2"/>
      <c r="G217" s="2"/>
      <c r="H217" s="2" t="s">
        <v>103</v>
      </c>
      <c r="I217" s="2"/>
      <c r="J217" s="2"/>
      <c r="K217" s="2"/>
      <c r="L217" s="2"/>
      <c r="M217" s="2"/>
      <c r="N217" s="2"/>
      <c r="O217" s="2"/>
      <c r="P217" s="2"/>
      <c r="Q217" s="2"/>
      <c r="R217" s="2"/>
      <c r="S217" s="2"/>
      <c r="T217" s="2"/>
      <c r="U217" s="2"/>
      <c r="V217" s="2"/>
      <c r="W217" s="2"/>
      <c r="X217" s="2"/>
      <c r="Y217" s="2"/>
    </row>
    <row r="218" spans="1:25" x14ac:dyDescent="0.25">
      <c r="A218" s="2"/>
      <c r="B218" s="9"/>
      <c r="C218" s="2" t="s">
        <v>104</v>
      </c>
      <c r="D218" s="2"/>
      <c r="E218" s="2" t="s">
        <v>105</v>
      </c>
      <c r="F218" s="2"/>
      <c r="G218" s="2"/>
      <c r="H218" s="2" t="s">
        <v>105</v>
      </c>
      <c r="I218" s="2"/>
      <c r="J218" s="2"/>
      <c r="K218" s="2"/>
      <c r="L218" s="2"/>
      <c r="M218" s="2"/>
      <c r="N218" s="2"/>
      <c r="O218" s="2"/>
      <c r="P218" s="2"/>
      <c r="Q218" s="2"/>
      <c r="R218" s="2"/>
      <c r="S218" s="2"/>
      <c r="T218" s="2"/>
      <c r="U218" s="2"/>
      <c r="V218" s="2"/>
      <c r="W218" s="2"/>
      <c r="X218" s="2"/>
      <c r="Y218" s="2"/>
    </row>
    <row r="219" spans="1:25" x14ac:dyDescent="0.25">
      <c r="A219" s="2"/>
      <c r="B219" s="9"/>
      <c r="C219" s="2" t="s">
        <v>106</v>
      </c>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5">
      <c r="A220" s="2"/>
      <c r="B220" s="9"/>
      <c r="C220" s="2" t="s">
        <v>107</v>
      </c>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5">
      <c r="A221" s="2"/>
      <c r="B221" s="9"/>
      <c r="C221" s="2" t="s">
        <v>108</v>
      </c>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5">
      <c r="A222" s="2"/>
      <c r="B222" s="9"/>
      <c r="C222" s="17" t="s">
        <v>109</v>
      </c>
      <c r="D222" s="2"/>
      <c r="E222" s="2"/>
      <c r="F222" s="2"/>
      <c r="G222" s="2"/>
      <c r="H222" s="2"/>
      <c r="I222" s="2"/>
      <c r="J222" s="2"/>
      <c r="K222" s="2"/>
      <c r="L222" s="2"/>
      <c r="M222" s="2"/>
      <c r="N222" s="2"/>
      <c r="O222" s="2"/>
      <c r="P222" s="2"/>
      <c r="Q222" s="2"/>
      <c r="R222" s="2"/>
      <c r="S222" s="2"/>
      <c r="T222" s="2"/>
      <c r="U222" s="2"/>
      <c r="V222" s="2"/>
      <c r="W222" s="2"/>
      <c r="X222" s="2"/>
      <c r="Y222" s="2"/>
    </row>
  </sheetData>
  <sheetProtection formatCells="0" formatRows="0" insertRows="0" insertHyperlinks="0" deleteRows="0" selectLockedCells="1"/>
  <mergeCells count="154">
    <mergeCell ref="J114:P114"/>
    <mergeCell ref="J115:P115"/>
    <mergeCell ref="J128:P128"/>
    <mergeCell ref="J129:P129"/>
    <mergeCell ref="J130:P130"/>
    <mergeCell ref="J131:P131"/>
    <mergeCell ref="J122:P122"/>
    <mergeCell ref="J123:P123"/>
    <mergeCell ref="J124:P124"/>
    <mergeCell ref="J125:P125"/>
    <mergeCell ref="J126:P126"/>
    <mergeCell ref="J127:P127"/>
    <mergeCell ref="J116:P116"/>
    <mergeCell ref="J117:P117"/>
    <mergeCell ref="J118:P118"/>
    <mergeCell ref="J119:P119"/>
    <mergeCell ref="J120:P120"/>
    <mergeCell ref="J121:P121"/>
    <mergeCell ref="J105:P105"/>
    <mergeCell ref="J106:P106"/>
    <mergeCell ref="J86:P86"/>
    <mergeCell ref="J87:P87"/>
    <mergeCell ref="J88:P88"/>
    <mergeCell ref="J89:P89"/>
    <mergeCell ref="J90:P90"/>
    <mergeCell ref="J83:P83"/>
    <mergeCell ref="J101:P101"/>
    <mergeCell ref="J54:P54"/>
    <mergeCell ref="J55:P55"/>
    <mergeCell ref="J56:P56"/>
    <mergeCell ref="J77:P77"/>
    <mergeCell ref="J78:P78"/>
    <mergeCell ref="J79:P79"/>
    <mergeCell ref="J80:P80"/>
    <mergeCell ref="J81:P81"/>
    <mergeCell ref="J82:P82"/>
    <mergeCell ref="J59:P59"/>
    <mergeCell ref="J60:P60"/>
    <mergeCell ref="J61:P61"/>
    <mergeCell ref="J62:P62"/>
    <mergeCell ref="J63:P63"/>
    <mergeCell ref="J68:P68"/>
    <mergeCell ref="J69:P69"/>
    <mergeCell ref="J70:P70"/>
    <mergeCell ref="J71:P71"/>
    <mergeCell ref="J72:P72"/>
    <mergeCell ref="J73:P73"/>
    <mergeCell ref="J74:P74"/>
    <mergeCell ref="J75:P75"/>
    <mergeCell ref="J76:P76"/>
    <mergeCell ref="N155:P155"/>
    <mergeCell ref="N151:P151"/>
    <mergeCell ref="N153:P153"/>
    <mergeCell ref="N152:P152"/>
    <mergeCell ref="J32:P32"/>
    <mergeCell ref="J33:P33"/>
    <mergeCell ref="J34:P34"/>
    <mergeCell ref="J35:P35"/>
    <mergeCell ref="J36:P36"/>
    <mergeCell ref="J37:P37"/>
    <mergeCell ref="J39:P39"/>
    <mergeCell ref="J38:P38"/>
    <mergeCell ref="J40:P40"/>
    <mergeCell ref="J42:P42"/>
    <mergeCell ref="J41:P41"/>
    <mergeCell ref="J43:P43"/>
    <mergeCell ref="J44:P44"/>
    <mergeCell ref="J45:P45"/>
    <mergeCell ref="J46:P46"/>
    <mergeCell ref="J47:P47"/>
    <mergeCell ref="J57:P57"/>
    <mergeCell ref="J64:P64"/>
    <mergeCell ref="J65:P65"/>
    <mergeCell ref="J84:P84"/>
    <mergeCell ref="N150:P150"/>
    <mergeCell ref="N141:P141"/>
    <mergeCell ref="N142:P142"/>
    <mergeCell ref="N143:P143"/>
    <mergeCell ref="N144:P144"/>
    <mergeCell ref="N145:P145"/>
    <mergeCell ref="N146:P146"/>
    <mergeCell ref="B148:P148"/>
    <mergeCell ref="N154:P154"/>
    <mergeCell ref="N140:P140"/>
    <mergeCell ref="B17:C17"/>
    <mergeCell ref="D17:E17"/>
    <mergeCell ref="B20:P20"/>
    <mergeCell ref="J22:P22"/>
    <mergeCell ref="B138:P138"/>
    <mergeCell ref="J23:P23"/>
    <mergeCell ref="J24:P24"/>
    <mergeCell ref="J25:P25"/>
    <mergeCell ref="J26:P26"/>
    <mergeCell ref="J27:P27"/>
    <mergeCell ref="J28:P28"/>
    <mergeCell ref="J29:P29"/>
    <mergeCell ref="J30:P30"/>
    <mergeCell ref="J31:P31"/>
    <mergeCell ref="J58:P58"/>
    <mergeCell ref="J48:P48"/>
    <mergeCell ref="J49:P49"/>
    <mergeCell ref="J50:P50"/>
    <mergeCell ref="J51:P51"/>
    <mergeCell ref="J52:P52"/>
    <mergeCell ref="J53:P53"/>
    <mergeCell ref="J66:P66"/>
    <mergeCell ref="J67:P67"/>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133:P133"/>
    <mergeCell ref="J134:P134"/>
    <mergeCell ref="J135:P135"/>
    <mergeCell ref="J96:P96"/>
    <mergeCell ref="J97:P97"/>
    <mergeCell ref="J98:P98"/>
    <mergeCell ref="J99:P99"/>
    <mergeCell ref="J100:P100"/>
    <mergeCell ref="J91:P91"/>
    <mergeCell ref="J92:P92"/>
    <mergeCell ref="J93:P93"/>
    <mergeCell ref="J94:P94"/>
    <mergeCell ref="J95:P95"/>
    <mergeCell ref="J132:P132"/>
    <mergeCell ref="J107:P107"/>
    <mergeCell ref="J108:P108"/>
    <mergeCell ref="J109:P109"/>
    <mergeCell ref="J110:P110"/>
    <mergeCell ref="J111:P111"/>
    <mergeCell ref="J112:P112"/>
    <mergeCell ref="J113:P113"/>
    <mergeCell ref="J102:P102"/>
    <mergeCell ref="J103:P103"/>
    <mergeCell ref="J104:P104"/>
  </mergeCells>
  <conditionalFormatting sqref="H151 H141:H145 H153:H155">
    <cfRule type="cellIs" dxfId="6" priority="4" stopIfTrue="1" operator="equal">
      <formula>0</formula>
    </cfRule>
  </conditionalFormatting>
  <conditionalFormatting sqref="G151 G141:G145 G153:G155">
    <cfRule type="cellIs" dxfId="5" priority="3" stopIfTrue="1" operator="equal">
      <formula>1</formula>
    </cfRule>
  </conditionalFormatting>
  <conditionalFormatting sqref="H152">
    <cfRule type="cellIs" dxfId="4" priority="2" stopIfTrue="1" operator="equal">
      <formula>0</formula>
    </cfRule>
  </conditionalFormatting>
  <conditionalFormatting sqref="G152">
    <cfRule type="cellIs" dxfId="3" priority="1" stopIfTrue="1" operator="equal">
      <formula>1</formula>
    </cfRule>
  </conditionalFormatting>
  <dataValidations count="7">
    <dataValidation type="list" allowBlank="1" showInputMessage="1" showErrorMessage="1" sqref="L141:L145 L151:L154">
      <formula1>$H$213:$H$218</formula1>
    </dataValidation>
    <dataValidation type="list" allowBlank="1" showInputMessage="1" showErrorMessage="1" sqref="K141:K145 K151:K154">
      <formula1>$J$213:$J$215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$C$213:$C$222</formula1>
    </dataValidation>
    <dataValidation type="list" allowBlank="1" showInputMessage="1" showErrorMessage="1" sqref="D14:E14">
      <formula1>$D$213:$D$217</formula1>
    </dataValidation>
    <dataValidation type="list" allowBlank="1" showInputMessage="1" showErrorMessage="1" sqref="D16:E16">
      <formula1>$E$213:$E$218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96" t="s">
        <v>13</v>
      </c>
      <c r="B1" s="396"/>
      <c r="C1" s="396"/>
      <c r="D1" s="396"/>
      <c r="E1" s="396"/>
      <c r="F1" s="396"/>
      <c r="G1" s="396"/>
      <c r="H1" s="396"/>
      <c r="I1" s="396"/>
      <c r="J1" s="396"/>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7"/>
      <c r="B2" s="77"/>
      <c r="C2" s="77"/>
      <c r="D2" s="77"/>
      <c r="E2" s="77"/>
      <c r="F2" s="77"/>
      <c r="G2" s="77"/>
      <c r="H2" s="77"/>
      <c r="I2" s="77"/>
      <c r="J2" s="77"/>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7"/>
      <c r="B3" s="397" t="s">
        <v>58</v>
      </c>
      <c r="C3" s="78" t="s">
        <v>110</v>
      </c>
      <c r="D3" s="399" t="s">
        <v>111</v>
      </c>
      <c r="E3" s="400"/>
      <c r="F3" s="401"/>
      <c r="G3" s="402" t="s">
        <v>112</v>
      </c>
      <c r="H3" s="77"/>
      <c r="I3" s="77"/>
      <c r="J3" s="77"/>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98"/>
      <c r="C4" s="79">
        <v>3</v>
      </c>
      <c r="D4" s="80">
        <v>1</v>
      </c>
      <c r="E4" s="81">
        <v>2</v>
      </c>
      <c r="F4" s="82">
        <v>3</v>
      </c>
      <c r="G4" s="403"/>
    </row>
    <row r="5" spans="1:38" ht="27.75" customHeight="1" x14ac:dyDescent="0.25">
      <c r="B5" s="398"/>
      <c r="C5" s="322" t="str">
        <f>D5</f>
        <v>Metallothermic Reduction of Rare Earth Oxides</v>
      </c>
      <c r="D5" s="404" t="str">
        <f>'Data Summary'!D4</f>
        <v>Metallothermic Reduction of Rare Earth Oxides</v>
      </c>
      <c r="E5" s="405"/>
      <c r="F5" s="406"/>
      <c r="G5" s="403"/>
    </row>
    <row r="6" spans="1:38" x14ac:dyDescent="0.25">
      <c r="B6" s="398"/>
      <c r="C6" s="83" t="str">
        <f>HLOOKUP($C$4,$D$4:$F$13,3,FALSE)</f>
        <v>Scenario 3 Name</v>
      </c>
      <c r="D6" s="84" t="s">
        <v>113</v>
      </c>
      <c r="E6" s="85" t="s">
        <v>114</v>
      </c>
      <c r="F6" s="86" t="s">
        <v>115</v>
      </c>
      <c r="G6" s="403"/>
    </row>
    <row r="7" spans="1:38" ht="15" customHeight="1" x14ac:dyDescent="0.25">
      <c r="B7" s="87" t="s">
        <v>116</v>
      </c>
      <c r="C7" s="88">
        <f>HLOOKUP($C$4,$D$4:$F$13,4,FALSE)</f>
        <v>0</v>
      </c>
      <c r="D7" s="89"/>
      <c r="E7" s="90"/>
      <c r="F7" s="91"/>
      <c r="G7" s="92" t="s">
        <v>117</v>
      </c>
    </row>
    <row r="8" spans="1:38" ht="15" customHeight="1" x14ac:dyDescent="0.25">
      <c r="B8" s="93" t="s">
        <v>118</v>
      </c>
      <c r="C8" s="94">
        <f>HLOOKUP($C$4,$D$4:$F$13,5,FALSE)</f>
        <v>0</v>
      </c>
      <c r="D8" s="95"/>
      <c r="E8" s="96"/>
      <c r="F8" s="97"/>
      <c r="G8" s="98"/>
    </row>
    <row r="9" spans="1:38" ht="15" customHeight="1" x14ac:dyDescent="0.25">
      <c r="B9" s="99"/>
      <c r="C9" s="100">
        <f>HLOOKUP($C$4,$D$4:$F$13,6,FALSE)</f>
        <v>0</v>
      </c>
      <c r="D9" s="101"/>
      <c r="E9" s="102"/>
      <c r="F9" s="103"/>
      <c r="G9" s="98"/>
    </row>
    <row r="10" spans="1:38" ht="15" customHeight="1" x14ac:dyDescent="0.25">
      <c r="B10" s="99"/>
      <c r="C10" s="100">
        <f>HLOOKUP($C$4,$D$4:$F$13,7,FALSE)</f>
        <v>0</v>
      </c>
      <c r="D10" s="101"/>
      <c r="E10" s="102"/>
      <c r="F10" s="103"/>
      <c r="G10" s="98"/>
    </row>
    <row r="11" spans="1:38" ht="15" customHeight="1" x14ac:dyDescent="0.25">
      <c r="B11" s="99"/>
      <c r="C11" s="104">
        <f>HLOOKUP($C$4,$D$4:$F$13,8,FALSE)</f>
        <v>0</v>
      </c>
      <c r="D11" s="105"/>
      <c r="E11" s="106"/>
      <c r="F11" s="107"/>
      <c r="G11" s="98"/>
    </row>
    <row r="12" spans="1:38" ht="15" customHeight="1" x14ac:dyDescent="0.25">
      <c r="B12" s="99"/>
      <c r="C12" s="104">
        <f>HLOOKUP($C$4,$D$4:$F$13,9,FALSE)</f>
        <v>0</v>
      </c>
      <c r="D12" s="105"/>
      <c r="E12" s="106"/>
      <c r="F12" s="107"/>
      <c r="G12" s="98"/>
    </row>
    <row r="13" spans="1:38" ht="15" customHeight="1" thickBot="1" x14ac:dyDescent="0.3">
      <c r="B13" s="108"/>
      <c r="C13" s="109">
        <f>HLOOKUP($C$4,$D$4:$F$13,10,FALSE)</f>
        <v>0</v>
      </c>
      <c r="D13" s="110"/>
      <c r="E13" s="111"/>
      <c r="F13" s="112"/>
      <c r="G13" s="113"/>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4" t="s">
        <v>119</v>
      </c>
    </row>
    <row r="20" spans="2:7" x14ac:dyDescent="0.25">
      <c r="B20" s="115" t="s">
        <v>111</v>
      </c>
      <c r="C20" s="407" t="s">
        <v>9</v>
      </c>
      <c r="D20" s="407"/>
      <c r="E20" s="407"/>
      <c r="F20" s="407"/>
      <c r="G20" s="407"/>
    </row>
    <row r="21" spans="2:7" ht="30" customHeight="1" x14ac:dyDescent="0.25">
      <c r="B21" s="116">
        <v>1</v>
      </c>
      <c r="C21" s="393" t="s">
        <v>120</v>
      </c>
      <c r="D21" s="393"/>
      <c r="E21" s="393"/>
      <c r="F21" s="393"/>
      <c r="G21" s="393"/>
    </row>
    <row r="22" spans="2:7" ht="30" customHeight="1" x14ac:dyDescent="0.25">
      <c r="B22" s="116">
        <v>2</v>
      </c>
      <c r="C22" s="394"/>
      <c r="D22" s="394"/>
      <c r="E22" s="394"/>
      <c r="F22" s="394"/>
      <c r="G22" s="394"/>
    </row>
    <row r="23" spans="2:7" ht="30" customHeight="1" x14ac:dyDescent="0.25">
      <c r="B23" s="117">
        <v>3</v>
      </c>
      <c r="C23" s="395"/>
      <c r="D23" s="395"/>
      <c r="E23" s="395"/>
      <c r="F23" s="395"/>
      <c r="G23" s="39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70" customWidth="1"/>
    <col min="2" max="10" width="31.42578125" style="169" customWidth="1"/>
    <col min="11" max="27" width="36.85546875" style="169" customWidth="1"/>
    <col min="28" max="28" width="37" style="169" customWidth="1"/>
    <col min="29" max="35" width="36.85546875" style="169" customWidth="1"/>
    <col min="36" max="44" width="36.85546875" style="170" customWidth="1"/>
    <col min="45" max="45" width="37.140625" style="170" customWidth="1"/>
    <col min="46" max="47" width="36.85546875" style="170" customWidth="1"/>
    <col min="48" max="48" width="36.5703125" style="170" customWidth="1"/>
    <col min="49" max="50" width="36.85546875" style="170" customWidth="1"/>
    <col min="51" max="51" width="36.5703125" style="170" customWidth="1"/>
    <col min="52" max="52" width="37" style="170" customWidth="1"/>
    <col min="53" max="71" width="36.85546875" style="170" customWidth="1"/>
    <col min="72" max="72" width="37" style="170" customWidth="1"/>
    <col min="73" max="90" width="36.85546875" style="170" customWidth="1"/>
    <col min="91" max="91" width="36.5703125" style="170" customWidth="1"/>
    <col min="92" max="104" width="36.85546875" style="170" customWidth="1"/>
    <col min="105" max="105" width="36.5703125" style="170" customWidth="1"/>
    <col min="106" max="108" width="36.85546875" style="170" customWidth="1"/>
    <col min="109" max="109" width="36.5703125" style="170" customWidth="1"/>
    <col min="110" max="117" width="36.85546875" style="170" customWidth="1"/>
    <col min="118" max="118" width="36.5703125" style="170" customWidth="1"/>
    <col min="119" max="256" width="36.85546875" style="170"/>
    <col min="257" max="257" width="18.5703125" style="170" customWidth="1"/>
    <col min="258" max="266" width="31.42578125" style="170" customWidth="1"/>
    <col min="267" max="283" width="36.85546875" style="170" customWidth="1"/>
    <col min="284" max="284" width="37" style="170" customWidth="1"/>
    <col min="285" max="300" width="36.85546875" style="170" customWidth="1"/>
    <col min="301" max="301" width="37.140625" style="170" customWidth="1"/>
    <col min="302" max="303" width="36.85546875" style="170" customWidth="1"/>
    <col min="304" max="304" width="36.5703125" style="170" customWidth="1"/>
    <col min="305" max="306" width="36.85546875" style="170" customWidth="1"/>
    <col min="307" max="307" width="36.5703125" style="170" customWidth="1"/>
    <col min="308" max="308" width="37" style="170" customWidth="1"/>
    <col min="309" max="327" width="36.85546875" style="170" customWidth="1"/>
    <col min="328" max="328" width="37" style="170" customWidth="1"/>
    <col min="329" max="346" width="36.85546875" style="170" customWidth="1"/>
    <col min="347" max="347" width="36.5703125" style="170" customWidth="1"/>
    <col min="348" max="360" width="36.85546875" style="170" customWidth="1"/>
    <col min="361" max="361" width="36.5703125" style="170" customWidth="1"/>
    <col min="362" max="364" width="36.85546875" style="170" customWidth="1"/>
    <col min="365" max="365" width="36.5703125" style="170" customWidth="1"/>
    <col min="366" max="373" width="36.85546875" style="170" customWidth="1"/>
    <col min="374" max="374" width="36.5703125" style="170" customWidth="1"/>
    <col min="375" max="512" width="36.85546875" style="170"/>
    <col min="513" max="513" width="18.5703125" style="170" customWidth="1"/>
    <col min="514" max="522" width="31.42578125" style="170" customWidth="1"/>
    <col min="523" max="539" width="36.85546875" style="170" customWidth="1"/>
    <col min="540" max="540" width="37" style="170" customWidth="1"/>
    <col min="541" max="556" width="36.85546875" style="170" customWidth="1"/>
    <col min="557" max="557" width="37.140625" style="170" customWidth="1"/>
    <col min="558" max="559" width="36.85546875" style="170" customWidth="1"/>
    <col min="560" max="560" width="36.5703125" style="170" customWidth="1"/>
    <col min="561" max="562" width="36.85546875" style="170" customWidth="1"/>
    <col min="563" max="563" width="36.5703125" style="170" customWidth="1"/>
    <col min="564" max="564" width="37" style="170" customWidth="1"/>
    <col min="565" max="583" width="36.85546875" style="170" customWidth="1"/>
    <col min="584" max="584" width="37" style="170" customWidth="1"/>
    <col min="585" max="602" width="36.85546875" style="170" customWidth="1"/>
    <col min="603" max="603" width="36.5703125" style="170" customWidth="1"/>
    <col min="604" max="616" width="36.85546875" style="170" customWidth="1"/>
    <col min="617" max="617" width="36.5703125" style="170" customWidth="1"/>
    <col min="618" max="620" width="36.85546875" style="170" customWidth="1"/>
    <col min="621" max="621" width="36.5703125" style="170" customWidth="1"/>
    <col min="622" max="629" width="36.85546875" style="170" customWidth="1"/>
    <col min="630" max="630" width="36.5703125" style="170" customWidth="1"/>
    <col min="631" max="768" width="36.85546875" style="170"/>
    <col min="769" max="769" width="18.5703125" style="170" customWidth="1"/>
    <col min="770" max="778" width="31.42578125" style="170" customWidth="1"/>
    <col min="779" max="795" width="36.85546875" style="170" customWidth="1"/>
    <col min="796" max="796" width="37" style="170" customWidth="1"/>
    <col min="797" max="812" width="36.85546875" style="170" customWidth="1"/>
    <col min="813" max="813" width="37.140625" style="170" customWidth="1"/>
    <col min="814" max="815" width="36.85546875" style="170" customWidth="1"/>
    <col min="816" max="816" width="36.5703125" style="170" customWidth="1"/>
    <col min="817" max="818" width="36.85546875" style="170" customWidth="1"/>
    <col min="819" max="819" width="36.5703125" style="170" customWidth="1"/>
    <col min="820" max="820" width="37" style="170" customWidth="1"/>
    <col min="821" max="839" width="36.85546875" style="170" customWidth="1"/>
    <col min="840" max="840" width="37" style="170" customWidth="1"/>
    <col min="841" max="858" width="36.85546875" style="170" customWidth="1"/>
    <col min="859" max="859" width="36.5703125" style="170" customWidth="1"/>
    <col min="860" max="872" width="36.85546875" style="170" customWidth="1"/>
    <col min="873" max="873" width="36.5703125" style="170" customWidth="1"/>
    <col min="874" max="876" width="36.85546875" style="170" customWidth="1"/>
    <col min="877" max="877" width="36.5703125" style="170" customWidth="1"/>
    <col min="878" max="885" width="36.85546875" style="170" customWidth="1"/>
    <col min="886" max="886" width="36.5703125" style="170" customWidth="1"/>
    <col min="887" max="1024" width="36.85546875" style="170"/>
    <col min="1025" max="1025" width="18.5703125" style="170" customWidth="1"/>
    <col min="1026" max="1034" width="31.42578125" style="170" customWidth="1"/>
    <col min="1035" max="1051" width="36.85546875" style="170" customWidth="1"/>
    <col min="1052" max="1052" width="37" style="170" customWidth="1"/>
    <col min="1053" max="1068" width="36.85546875" style="170" customWidth="1"/>
    <col min="1069" max="1069" width="37.140625" style="170" customWidth="1"/>
    <col min="1070" max="1071" width="36.85546875" style="170" customWidth="1"/>
    <col min="1072" max="1072" width="36.5703125" style="170" customWidth="1"/>
    <col min="1073" max="1074" width="36.85546875" style="170" customWidth="1"/>
    <col min="1075" max="1075" width="36.5703125" style="170" customWidth="1"/>
    <col min="1076" max="1076" width="37" style="170" customWidth="1"/>
    <col min="1077" max="1095" width="36.85546875" style="170" customWidth="1"/>
    <col min="1096" max="1096" width="37" style="170" customWidth="1"/>
    <col min="1097" max="1114" width="36.85546875" style="170" customWidth="1"/>
    <col min="1115" max="1115" width="36.5703125" style="170" customWidth="1"/>
    <col min="1116" max="1128" width="36.85546875" style="170" customWidth="1"/>
    <col min="1129" max="1129" width="36.5703125" style="170" customWidth="1"/>
    <col min="1130" max="1132" width="36.85546875" style="170" customWidth="1"/>
    <col min="1133" max="1133" width="36.5703125" style="170" customWidth="1"/>
    <col min="1134" max="1141" width="36.85546875" style="170" customWidth="1"/>
    <col min="1142" max="1142" width="36.5703125" style="170" customWidth="1"/>
    <col min="1143" max="1280" width="36.85546875" style="170"/>
    <col min="1281" max="1281" width="18.5703125" style="170" customWidth="1"/>
    <col min="1282" max="1290" width="31.42578125" style="170" customWidth="1"/>
    <col min="1291" max="1307" width="36.85546875" style="170" customWidth="1"/>
    <col min="1308" max="1308" width="37" style="170" customWidth="1"/>
    <col min="1309" max="1324" width="36.85546875" style="170" customWidth="1"/>
    <col min="1325" max="1325" width="37.140625" style="170" customWidth="1"/>
    <col min="1326" max="1327" width="36.85546875" style="170" customWidth="1"/>
    <col min="1328" max="1328" width="36.5703125" style="170" customWidth="1"/>
    <col min="1329" max="1330" width="36.85546875" style="170" customWidth="1"/>
    <col min="1331" max="1331" width="36.5703125" style="170" customWidth="1"/>
    <col min="1332" max="1332" width="37" style="170" customWidth="1"/>
    <col min="1333" max="1351" width="36.85546875" style="170" customWidth="1"/>
    <col min="1352" max="1352" width="37" style="170" customWidth="1"/>
    <col min="1353" max="1370" width="36.85546875" style="170" customWidth="1"/>
    <col min="1371" max="1371" width="36.5703125" style="170" customWidth="1"/>
    <col min="1372" max="1384" width="36.85546875" style="170" customWidth="1"/>
    <col min="1385" max="1385" width="36.5703125" style="170" customWidth="1"/>
    <col min="1386" max="1388" width="36.85546875" style="170" customWidth="1"/>
    <col min="1389" max="1389" width="36.5703125" style="170" customWidth="1"/>
    <col min="1390" max="1397" width="36.85546875" style="170" customWidth="1"/>
    <col min="1398" max="1398" width="36.5703125" style="170" customWidth="1"/>
    <col min="1399" max="1536" width="36.85546875" style="170"/>
    <col min="1537" max="1537" width="18.5703125" style="170" customWidth="1"/>
    <col min="1538" max="1546" width="31.42578125" style="170" customWidth="1"/>
    <col min="1547" max="1563" width="36.85546875" style="170" customWidth="1"/>
    <col min="1564" max="1564" width="37" style="170" customWidth="1"/>
    <col min="1565" max="1580" width="36.85546875" style="170" customWidth="1"/>
    <col min="1581" max="1581" width="37.140625" style="170" customWidth="1"/>
    <col min="1582" max="1583" width="36.85546875" style="170" customWidth="1"/>
    <col min="1584" max="1584" width="36.5703125" style="170" customWidth="1"/>
    <col min="1585" max="1586" width="36.85546875" style="170" customWidth="1"/>
    <col min="1587" max="1587" width="36.5703125" style="170" customWidth="1"/>
    <col min="1588" max="1588" width="37" style="170" customWidth="1"/>
    <col min="1589" max="1607" width="36.85546875" style="170" customWidth="1"/>
    <col min="1608" max="1608" width="37" style="170" customWidth="1"/>
    <col min="1609" max="1626" width="36.85546875" style="170" customWidth="1"/>
    <col min="1627" max="1627" width="36.5703125" style="170" customWidth="1"/>
    <col min="1628" max="1640" width="36.85546875" style="170" customWidth="1"/>
    <col min="1641" max="1641" width="36.5703125" style="170" customWidth="1"/>
    <col min="1642" max="1644" width="36.85546875" style="170" customWidth="1"/>
    <col min="1645" max="1645" width="36.5703125" style="170" customWidth="1"/>
    <col min="1646" max="1653" width="36.85546875" style="170" customWidth="1"/>
    <col min="1654" max="1654" width="36.5703125" style="170" customWidth="1"/>
    <col min="1655" max="1792" width="36.85546875" style="170"/>
    <col min="1793" max="1793" width="18.5703125" style="170" customWidth="1"/>
    <col min="1794" max="1802" width="31.42578125" style="170" customWidth="1"/>
    <col min="1803" max="1819" width="36.85546875" style="170" customWidth="1"/>
    <col min="1820" max="1820" width="37" style="170" customWidth="1"/>
    <col min="1821" max="1836" width="36.85546875" style="170" customWidth="1"/>
    <col min="1837" max="1837" width="37.140625" style="170" customWidth="1"/>
    <col min="1838" max="1839" width="36.85546875" style="170" customWidth="1"/>
    <col min="1840" max="1840" width="36.5703125" style="170" customWidth="1"/>
    <col min="1841" max="1842" width="36.85546875" style="170" customWidth="1"/>
    <col min="1843" max="1843" width="36.5703125" style="170" customWidth="1"/>
    <col min="1844" max="1844" width="37" style="170" customWidth="1"/>
    <col min="1845" max="1863" width="36.85546875" style="170" customWidth="1"/>
    <col min="1864" max="1864" width="37" style="170" customWidth="1"/>
    <col min="1865" max="1882" width="36.85546875" style="170" customWidth="1"/>
    <col min="1883" max="1883" width="36.5703125" style="170" customWidth="1"/>
    <col min="1884" max="1896" width="36.85546875" style="170" customWidth="1"/>
    <col min="1897" max="1897" width="36.5703125" style="170" customWidth="1"/>
    <col min="1898" max="1900" width="36.85546875" style="170" customWidth="1"/>
    <col min="1901" max="1901" width="36.5703125" style="170" customWidth="1"/>
    <col min="1902" max="1909" width="36.85546875" style="170" customWidth="1"/>
    <col min="1910" max="1910" width="36.5703125" style="170" customWidth="1"/>
    <col min="1911" max="2048" width="36.85546875" style="170"/>
    <col min="2049" max="2049" width="18.5703125" style="170" customWidth="1"/>
    <col min="2050" max="2058" width="31.42578125" style="170" customWidth="1"/>
    <col min="2059" max="2075" width="36.85546875" style="170" customWidth="1"/>
    <col min="2076" max="2076" width="37" style="170" customWidth="1"/>
    <col min="2077" max="2092" width="36.85546875" style="170" customWidth="1"/>
    <col min="2093" max="2093" width="37.140625" style="170" customWidth="1"/>
    <col min="2094" max="2095" width="36.85546875" style="170" customWidth="1"/>
    <col min="2096" max="2096" width="36.5703125" style="170" customWidth="1"/>
    <col min="2097" max="2098" width="36.85546875" style="170" customWidth="1"/>
    <col min="2099" max="2099" width="36.5703125" style="170" customWidth="1"/>
    <col min="2100" max="2100" width="37" style="170" customWidth="1"/>
    <col min="2101" max="2119" width="36.85546875" style="170" customWidth="1"/>
    <col min="2120" max="2120" width="37" style="170" customWidth="1"/>
    <col min="2121" max="2138" width="36.85546875" style="170" customWidth="1"/>
    <col min="2139" max="2139" width="36.5703125" style="170" customWidth="1"/>
    <col min="2140" max="2152" width="36.85546875" style="170" customWidth="1"/>
    <col min="2153" max="2153" width="36.5703125" style="170" customWidth="1"/>
    <col min="2154" max="2156" width="36.85546875" style="170" customWidth="1"/>
    <col min="2157" max="2157" width="36.5703125" style="170" customWidth="1"/>
    <col min="2158" max="2165" width="36.85546875" style="170" customWidth="1"/>
    <col min="2166" max="2166" width="36.5703125" style="170" customWidth="1"/>
    <col min="2167" max="2304" width="36.85546875" style="170"/>
    <col min="2305" max="2305" width="18.5703125" style="170" customWidth="1"/>
    <col min="2306" max="2314" width="31.42578125" style="170" customWidth="1"/>
    <col min="2315" max="2331" width="36.85546875" style="170" customWidth="1"/>
    <col min="2332" max="2332" width="37" style="170" customWidth="1"/>
    <col min="2333" max="2348" width="36.85546875" style="170" customWidth="1"/>
    <col min="2349" max="2349" width="37.140625" style="170" customWidth="1"/>
    <col min="2350" max="2351" width="36.85546875" style="170" customWidth="1"/>
    <col min="2352" max="2352" width="36.5703125" style="170" customWidth="1"/>
    <col min="2353" max="2354" width="36.85546875" style="170" customWidth="1"/>
    <col min="2355" max="2355" width="36.5703125" style="170" customWidth="1"/>
    <col min="2356" max="2356" width="37" style="170" customWidth="1"/>
    <col min="2357" max="2375" width="36.85546875" style="170" customWidth="1"/>
    <col min="2376" max="2376" width="37" style="170" customWidth="1"/>
    <col min="2377" max="2394" width="36.85546875" style="170" customWidth="1"/>
    <col min="2395" max="2395" width="36.5703125" style="170" customWidth="1"/>
    <col min="2396" max="2408" width="36.85546875" style="170" customWidth="1"/>
    <col min="2409" max="2409" width="36.5703125" style="170" customWidth="1"/>
    <col min="2410" max="2412" width="36.85546875" style="170" customWidth="1"/>
    <col min="2413" max="2413" width="36.5703125" style="170" customWidth="1"/>
    <col min="2414" max="2421" width="36.85546875" style="170" customWidth="1"/>
    <col min="2422" max="2422" width="36.5703125" style="170" customWidth="1"/>
    <col min="2423" max="2560" width="36.85546875" style="170"/>
    <col min="2561" max="2561" width="18.5703125" style="170" customWidth="1"/>
    <col min="2562" max="2570" width="31.42578125" style="170" customWidth="1"/>
    <col min="2571" max="2587" width="36.85546875" style="170" customWidth="1"/>
    <col min="2588" max="2588" width="37" style="170" customWidth="1"/>
    <col min="2589" max="2604" width="36.85546875" style="170" customWidth="1"/>
    <col min="2605" max="2605" width="37.140625" style="170" customWidth="1"/>
    <col min="2606" max="2607" width="36.85546875" style="170" customWidth="1"/>
    <col min="2608" max="2608" width="36.5703125" style="170" customWidth="1"/>
    <col min="2609" max="2610" width="36.85546875" style="170" customWidth="1"/>
    <col min="2611" max="2611" width="36.5703125" style="170" customWidth="1"/>
    <col min="2612" max="2612" width="37" style="170" customWidth="1"/>
    <col min="2613" max="2631" width="36.85546875" style="170" customWidth="1"/>
    <col min="2632" max="2632" width="37" style="170" customWidth="1"/>
    <col min="2633" max="2650" width="36.85546875" style="170" customWidth="1"/>
    <col min="2651" max="2651" width="36.5703125" style="170" customWidth="1"/>
    <col min="2652" max="2664" width="36.85546875" style="170" customWidth="1"/>
    <col min="2665" max="2665" width="36.5703125" style="170" customWidth="1"/>
    <col min="2666" max="2668" width="36.85546875" style="170" customWidth="1"/>
    <col min="2669" max="2669" width="36.5703125" style="170" customWidth="1"/>
    <col min="2670" max="2677" width="36.85546875" style="170" customWidth="1"/>
    <col min="2678" max="2678" width="36.5703125" style="170" customWidth="1"/>
    <col min="2679" max="2816" width="36.85546875" style="170"/>
    <col min="2817" max="2817" width="18.5703125" style="170" customWidth="1"/>
    <col min="2818" max="2826" width="31.42578125" style="170" customWidth="1"/>
    <col min="2827" max="2843" width="36.85546875" style="170" customWidth="1"/>
    <col min="2844" max="2844" width="37" style="170" customWidth="1"/>
    <col min="2845" max="2860" width="36.85546875" style="170" customWidth="1"/>
    <col min="2861" max="2861" width="37.140625" style="170" customWidth="1"/>
    <col min="2862" max="2863" width="36.85546875" style="170" customWidth="1"/>
    <col min="2864" max="2864" width="36.5703125" style="170" customWidth="1"/>
    <col min="2865" max="2866" width="36.85546875" style="170" customWidth="1"/>
    <col min="2867" max="2867" width="36.5703125" style="170" customWidth="1"/>
    <col min="2868" max="2868" width="37" style="170" customWidth="1"/>
    <col min="2869" max="2887" width="36.85546875" style="170" customWidth="1"/>
    <col min="2888" max="2888" width="37" style="170" customWidth="1"/>
    <col min="2889" max="2906" width="36.85546875" style="170" customWidth="1"/>
    <col min="2907" max="2907" width="36.5703125" style="170" customWidth="1"/>
    <col min="2908" max="2920" width="36.85546875" style="170" customWidth="1"/>
    <col min="2921" max="2921" width="36.5703125" style="170" customWidth="1"/>
    <col min="2922" max="2924" width="36.85546875" style="170" customWidth="1"/>
    <col min="2925" max="2925" width="36.5703125" style="170" customWidth="1"/>
    <col min="2926" max="2933" width="36.85546875" style="170" customWidth="1"/>
    <col min="2934" max="2934" width="36.5703125" style="170" customWidth="1"/>
    <col min="2935" max="3072" width="36.85546875" style="170"/>
    <col min="3073" max="3073" width="18.5703125" style="170" customWidth="1"/>
    <col min="3074" max="3082" width="31.42578125" style="170" customWidth="1"/>
    <col min="3083" max="3099" width="36.85546875" style="170" customWidth="1"/>
    <col min="3100" max="3100" width="37" style="170" customWidth="1"/>
    <col min="3101" max="3116" width="36.85546875" style="170" customWidth="1"/>
    <col min="3117" max="3117" width="37.140625" style="170" customWidth="1"/>
    <col min="3118" max="3119" width="36.85546875" style="170" customWidth="1"/>
    <col min="3120" max="3120" width="36.5703125" style="170" customWidth="1"/>
    <col min="3121" max="3122" width="36.85546875" style="170" customWidth="1"/>
    <col min="3123" max="3123" width="36.5703125" style="170" customWidth="1"/>
    <col min="3124" max="3124" width="37" style="170" customWidth="1"/>
    <col min="3125" max="3143" width="36.85546875" style="170" customWidth="1"/>
    <col min="3144" max="3144" width="37" style="170" customWidth="1"/>
    <col min="3145" max="3162" width="36.85546875" style="170" customWidth="1"/>
    <col min="3163" max="3163" width="36.5703125" style="170" customWidth="1"/>
    <col min="3164" max="3176" width="36.85546875" style="170" customWidth="1"/>
    <col min="3177" max="3177" width="36.5703125" style="170" customWidth="1"/>
    <col min="3178" max="3180" width="36.85546875" style="170" customWidth="1"/>
    <col min="3181" max="3181" width="36.5703125" style="170" customWidth="1"/>
    <col min="3182" max="3189" width="36.85546875" style="170" customWidth="1"/>
    <col min="3190" max="3190" width="36.5703125" style="170" customWidth="1"/>
    <col min="3191" max="3328" width="36.85546875" style="170"/>
    <col min="3329" max="3329" width="18.5703125" style="170" customWidth="1"/>
    <col min="3330" max="3338" width="31.42578125" style="170" customWidth="1"/>
    <col min="3339" max="3355" width="36.85546875" style="170" customWidth="1"/>
    <col min="3356" max="3356" width="37" style="170" customWidth="1"/>
    <col min="3357" max="3372" width="36.85546875" style="170" customWidth="1"/>
    <col min="3373" max="3373" width="37.140625" style="170" customWidth="1"/>
    <col min="3374" max="3375" width="36.85546875" style="170" customWidth="1"/>
    <col min="3376" max="3376" width="36.5703125" style="170" customWidth="1"/>
    <col min="3377" max="3378" width="36.85546875" style="170" customWidth="1"/>
    <col min="3379" max="3379" width="36.5703125" style="170" customWidth="1"/>
    <col min="3380" max="3380" width="37" style="170" customWidth="1"/>
    <col min="3381" max="3399" width="36.85546875" style="170" customWidth="1"/>
    <col min="3400" max="3400" width="37" style="170" customWidth="1"/>
    <col min="3401" max="3418" width="36.85546875" style="170" customWidth="1"/>
    <col min="3419" max="3419" width="36.5703125" style="170" customWidth="1"/>
    <col min="3420" max="3432" width="36.85546875" style="170" customWidth="1"/>
    <col min="3433" max="3433" width="36.5703125" style="170" customWidth="1"/>
    <col min="3434" max="3436" width="36.85546875" style="170" customWidth="1"/>
    <col min="3437" max="3437" width="36.5703125" style="170" customWidth="1"/>
    <col min="3438" max="3445" width="36.85546875" style="170" customWidth="1"/>
    <col min="3446" max="3446" width="36.5703125" style="170" customWidth="1"/>
    <col min="3447" max="3584" width="36.85546875" style="170"/>
    <col min="3585" max="3585" width="18.5703125" style="170" customWidth="1"/>
    <col min="3586" max="3594" width="31.42578125" style="170" customWidth="1"/>
    <col min="3595" max="3611" width="36.85546875" style="170" customWidth="1"/>
    <col min="3612" max="3612" width="37" style="170" customWidth="1"/>
    <col min="3613" max="3628" width="36.85546875" style="170" customWidth="1"/>
    <col min="3629" max="3629" width="37.140625" style="170" customWidth="1"/>
    <col min="3630" max="3631" width="36.85546875" style="170" customWidth="1"/>
    <col min="3632" max="3632" width="36.5703125" style="170" customWidth="1"/>
    <col min="3633" max="3634" width="36.85546875" style="170" customWidth="1"/>
    <col min="3635" max="3635" width="36.5703125" style="170" customWidth="1"/>
    <col min="3636" max="3636" width="37" style="170" customWidth="1"/>
    <col min="3637" max="3655" width="36.85546875" style="170" customWidth="1"/>
    <col min="3656" max="3656" width="37" style="170" customWidth="1"/>
    <col min="3657" max="3674" width="36.85546875" style="170" customWidth="1"/>
    <col min="3675" max="3675" width="36.5703125" style="170" customWidth="1"/>
    <col min="3676" max="3688" width="36.85546875" style="170" customWidth="1"/>
    <col min="3689" max="3689" width="36.5703125" style="170" customWidth="1"/>
    <col min="3690" max="3692" width="36.85546875" style="170" customWidth="1"/>
    <col min="3693" max="3693" width="36.5703125" style="170" customWidth="1"/>
    <col min="3694" max="3701" width="36.85546875" style="170" customWidth="1"/>
    <col min="3702" max="3702" width="36.5703125" style="170" customWidth="1"/>
    <col min="3703" max="3840" width="36.85546875" style="170"/>
    <col min="3841" max="3841" width="18.5703125" style="170" customWidth="1"/>
    <col min="3842" max="3850" width="31.42578125" style="170" customWidth="1"/>
    <col min="3851" max="3867" width="36.85546875" style="170" customWidth="1"/>
    <col min="3868" max="3868" width="37" style="170" customWidth="1"/>
    <col min="3869" max="3884" width="36.85546875" style="170" customWidth="1"/>
    <col min="3885" max="3885" width="37.140625" style="170" customWidth="1"/>
    <col min="3886" max="3887" width="36.85546875" style="170" customWidth="1"/>
    <col min="3888" max="3888" width="36.5703125" style="170" customWidth="1"/>
    <col min="3889" max="3890" width="36.85546875" style="170" customWidth="1"/>
    <col min="3891" max="3891" width="36.5703125" style="170" customWidth="1"/>
    <col min="3892" max="3892" width="37" style="170" customWidth="1"/>
    <col min="3893" max="3911" width="36.85546875" style="170" customWidth="1"/>
    <col min="3912" max="3912" width="37" style="170" customWidth="1"/>
    <col min="3913" max="3930" width="36.85546875" style="170" customWidth="1"/>
    <col min="3931" max="3931" width="36.5703125" style="170" customWidth="1"/>
    <col min="3932" max="3944" width="36.85546875" style="170" customWidth="1"/>
    <col min="3945" max="3945" width="36.5703125" style="170" customWidth="1"/>
    <col min="3946" max="3948" width="36.85546875" style="170" customWidth="1"/>
    <col min="3949" max="3949" width="36.5703125" style="170" customWidth="1"/>
    <col min="3950" max="3957" width="36.85546875" style="170" customWidth="1"/>
    <col min="3958" max="3958" width="36.5703125" style="170" customWidth="1"/>
    <col min="3959" max="4096" width="36.85546875" style="170"/>
    <col min="4097" max="4097" width="18.5703125" style="170" customWidth="1"/>
    <col min="4098" max="4106" width="31.42578125" style="170" customWidth="1"/>
    <col min="4107" max="4123" width="36.85546875" style="170" customWidth="1"/>
    <col min="4124" max="4124" width="37" style="170" customWidth="1"/>
    <col min="4125" max="4140" width="36.85546875" style="170" customWidth="1"/>
    <col min="4141" max="4141" width="37.140625" style="170" customWidth="1"/>
    <col min="4142" max="4143" width="36.85546875" style="170" customWidth="1"/>
    <col min="4144" max="4144" width="36.5703125" style="170" customWidth="1"/>
    <col min="4145" max="4146" width="36.85546875" style="170" customWidth="1"/>
    <col min="4147" max="4147" width="36.5703125" style="170" customWidth="1"/>
    <col min="4148" max="4148" width="37" style="170" customWidth="1"/>
    <col min="4149" max="4167" width="36.85546875" style="170" customWidth="1"/>
    <col min="4168" max="4168" width="37" style="170" customWidth="1"/>
    <col min="4169" max="4186" width="36.85546875" style="170" customWidth="1"/>
    <col min="4187" max="4187" width="36.5703125" style="170" customWidth="1"/>
    <col min="4188" max="4200" width="36.85546875" style="170" customWidth="1"/>
    <col min="4201" max="4201" width="36.5703125" style="170" customWidth="1"/>
    <col min="4202" max="4204" width="36.85546875" style="170" customWidth="1"/>
    <col min="4205" max="4205" width="36.5703125" style="170" customWidth="1"/>
    <col min="4206" max="4213" width="36.85546875" style="170" customWidth="1"/>
    <col min="4214" max="4214" width="36.5703125" style="170" customWidth="1"/>
    <col min="4215" max="4352" width="36.85546875" style="170"/>
    <col min="4353" max="4353" width="18.5703125" style="170" customWidth="1"/>
    <col min="4354" max="4362" width="31.42578125" style="170" customWidth="1"/>
    <col min="4363" max="4379" width="36.85546875" style="170" customWidth="1"/>
    <col min="4380" max="4380" width="37" style="170" customWidth="1"/>
    <col min="4381" max="4396" width="36.85546875" style="170" customWidth="1"/>
    <col min="4397" max="4397" width="37.140625" style="170" customWidth="1"/>
    <col min="4398" max="4399" width="36.85546875" style="170" customWidth="1"/>
    <col min="4400" max="4400" width="36.5703125" style="170" customWidth="1"/>
    <col min="4401" max="4402" width="36.85546875" style="170" customWidth="1"/>
    <col min="4403" max="4403" width="36.5703125" style="170" customWidth="1"/>
    <col min="4404" max="4404" width="37" style="170" customWidth="1"/>
    <col min="4405" max="4423" width="36.85546875" style="170" customWidth="1"/>
    <col min="4424" max="4424" width="37" style="170" customWidth="1"/>
    <col min="4425" max="4442" width="36.85546875" style="170" customWidth="1"/>
    <col min="4443" max="4443" width="36.5703125" style="170" customWidth="1"/>
    <col min="4444" max="4456" width="36.85546875" style="170" customWidth="1"/>
    <col min="4457" max="4457" width="36.5703125" style="170" customWidth="1"/>
    <col min="4458" max="4460" width="36.85546875" style="170" customWidth="1"/>
    <col min="4461" max="4461" width="36.5703125" style="170" customWidth="1"/>
    <col min="4462" max="4469" width="36.85546875" style="170" customWidth="1"/>
    <col min="4470" max="4470" width="36.5703125" style="170" customWidth="1"/>
    <col min="4471" max="4608" width="36.85546875" style="170"/>
    <col min="4609" max="4609" width="18.5703125" style="170" customWidth="1"/>
    <col min="4610" max="4618" width="31.42578125" style="170" customWidth="1"/>
    <col min="4619" max="4635" width="36.85546875" style="170" customWidth="1"/>
    <col min="4636" max="4636" width="37" style="170" customWidth="1"/>
    <col min="4637" max="4652" width="36.85546875" style="170" customWidth="1"/>
    <col min="4653" max="4653" width="37.140625" style="170" customWidth="1"/>
    <col min="4654" max="4655" width="36.85546875" style="170" customWidth="1"/>
    <col min="4656" max="4656" width="36.5703125" style="170" customWidth="1"/>
    <col min="4657" max="4658" width="36.85546875" style="170" customWidth="1"/>
    <col min="4659" max="4659" width="36.5703125" style="170" customWidth="1"/>
    <col min="4660" max="4660" width="37" style="170" customWidth="1"/>
    <col min="4661" max="4679" width="36.85546875" style="170" customWidth="1"/>
    <col min="4680" max="4680" width="37" style="170" customWidth="1"/>
    <col min="4681" max="4698" width="36.85546875" style="170" customWidth="1"/>
    <col min="4699" max="4699" width="36.5703125" style="170" customWidth="1"/>
    <col min="4700" max="4712" width="36.85546875" style="170" customWidth="1"/>
    <col min="4713" max="4713" width="36.5703125" style="170" customWidth="1"/>
    <col min="4714" max="4716" width="36.85546875" style="170" customWidth="1"/>
    <col min="4717" max="4717" width="36.5703125" style="170" customWidth="1"/>
    <col min="4718" max="4725" width="36.85546875" style="170" customWidth="1"/>
    <col min="4726" max="4726" width="36.5703125" style="170" customWidth="1"/>
    <col min="4727" max="4864" width="36.85546875" style="170"/>
    <col min="4865" max="4865" width="18.5703125" style="170" customWidth="1"/>
    <col min="4866" max="4874" width="31.42578125" style="170" customWidth="1"/>
    <col min="4875" max="4891" width="36.85546875" style="170" customWidth="1"/>
    <col min="4892" max="4892" width="37" style="170" customWidth="1"/>
    <col min="4893" max="4908" width="36.85546875" style="170" customWidth="1"/>
    <col min="4909" max="4909" width="37.140625" style="170" customWidth="1"/>
    <col min="4910" max="4911" width="36.85546875" style="170" customWidth="1"/>
    <col min="4912" max="4912" width="36.5703125" style="170" customWidth="1"/>
    <col min="4913" max="4914" width="36.85546875" style="170" customWidth="1"/>
    <col min="4915" max="4915" width="36.5703125" style="170" customWidth="1"/>
    <col min="4916" max="4916" width="37" style="170" customWidth="1"/>
    <col min="4917" max="4935" width="36.85546875" style="170" customWidth="1"/>
    <col min="4936" max="4936" width="37" style="170" customWidth="1"/>
    <col min="4937" max="4954" width="36.85546875" style="170" customWidth="1"/>
    <col min="4955" max="4955" width="36.5703125" style="170" customWidth="1"/>
    <col min="4956" max="4968" width="36.85546875" style="170" customWidth="1"/>
    <col min="4969" max="4969" width="36.5703125" style="170" customWidth="1"/>
    <col min="4970" max="4972" width="36.85546875" style="170" customWidth="1"/>
    <col min="4973" max="4973" width="36.5703125" style="170" customWidth="1"/>
    <col min="4974" max="4981" width="36.85546875" style="170" customWidth="1"/>
    <col min="4982" max="4982" width="36.5703125" style="170" customWidth="1"/>
    <col min="4983" max="5120" width="36.85546875" style="170"/>
    <col min="5121" max="5121" width="18.5703125" style="170" customWidth="1"/>
    <col min="5122" max="5130" width="31.42578125" style="170" customWidth="1"/>
    <col min="5131" max="5147" width="36.85546875" style="170" customWidth="1"/>
    <col min="5148" max="5148" width="37" style="170" customWidth="1"/>
    <col min="5149" max="5164" width="36.85546875" style="170" customWidth="1"/>
    <col min="5165" max="5165" width="37.140625" style="170" customWidth="1"/>
    <col min="5166" max="5167" width="36.85546875" style="170" customWidth="1"/>
    <col min="5168" max="5168" width="36.5703125" style="170" customWidth="1"/>
    <col min="5169" max="5170" width="36.85546875" style="170" customWidth="1"/>
    <col min="5171" max="5171" width="36.5703125" style="170" customWidth="1"/>
    <col min="5172" max="5172" width="37" style="170" customWidth="1"/>
    <col min="5173" max="5191" width="36.85546875" style="170" customWidth="1"/>
    <col min="5192" max="5192" width="37" style="170" customWidth="1"/>
    <col min="5193" max="5210" width="36.85546875" style="170" customWidth="1"/>
    <col min="5211" max="5211" width="36.5703125" style="170" customWidth="1"/>
    <col min="5212" max="5224" width="36.85546875" style="170" customWidth="1"/>
    <col min="5225" max="5225" width="36.5703125" style="170" customWidth="1"/>
    <col min="5226" max="5228" width="36.85546875" style="170" customWidth="1"/>
    <col min="5229" max="5229" width="36.5703125" style="170" customWidth="1"/>
    <col min="5230" max="5237" width="36.85546875" style="170" customWidth="1"/>
    <col min="5238" max="5238" width="36.5703125" style="170" customWidth="1"/>
    <col min="5239" max="5376" width="36.85546875" style="170"/>
    <col min="5377" max="5377" width="18.5703125" style="170" customWidth="1"/>
    <col min="5378" max="5386" width="31.42578125" style="170" customWidth="1"/>
    <col min="5387" max="5403" width="36.85546875" style="170" customWidth="1"/>
    <col min="5404" max="5404" width="37" style="170" customWidth="1"/>
    <col min="5405" max="5420" width="36.85546875" style="170" customWidth="1"/>
    <col min="5421" max="5421" width="37.140625" style="170" customWidth="1"/>
    <col min="5422" max="5423" width="36.85546875" style="170" customWidth="1"/>
    <col min="5424" max="5424" width="36.5703125" style="170" customWidth="1"/>
    <col min="5425" max="5426" width="36.85546875" style="170" customWidth="1"/>
    <col min="5427" max="5427" width="36.5703125" style="170" customWidth="1"/>
    <col min="5428" max="5428" width="37" style="170" customWidth="1"/>
    <col min="5429" max="5447" width="36.85546875" style="170" customWidth="1"/>
    <col min="5448" max="5448" width="37" style="170" customWidth="1"/>
    <col min="5449" max="5466" width="36.85546875" style="170" customWidth="1"/>
    <col min="5467" max="5467" width="36.5703125" style="170" customWidth="1"/>
    <col min="5468" max="5480" width="36.85546875" style="170" customWidth="1"/>
    <col min="5481" max="5481" width="36.5703125" style="170" customWidth="1"/>
    <col min="5482" max="5484" width="36.85546875" style="170" customWidth="1"/>
    <col min="5485" max="5485" width="36.5703125" style="170" customWidth="1"/>
    <col min="5486" max="5493" width="36.85546875" style="170" customWidth="1"/>
    <col min="5494" max="5494" width="36.5703125" style="170" customWidth="1"/>
    <col min="5495" max="5632" width="36.85546875" style="170"/>
    <col min="5633" max="5633" width="18.5703125" style="170" customWidth="1"/>
    <col min="5634" max="5642" width="31.42578125" style="170" customWidth="1"/>
    <col min="5643" max="5659" width="36.85546875" style="170" customWidth="1"/>
    <col min="5660" max="5660" width="37" style="170" customWidth="1"/>
    <col min="5661" max="5676" width="36.85546875" style="170" customWidth="1"/>
    <col min="5677" max="5677" width="37.140625" style="170" customWidth="1"/>
    <col min="5678" max="5679" width="36.85546875" style="170" customWidth="1"/>
    <col min="5680" max="5680" width="36.5703125" style="170" customWidth="1"/>
    <col min="5681" max="5682" width="36.85546875" style="170" customWidth="1"/>
    <col min="5683" max="5683" width="36.5703125" style="170" customWidth="1"/>
    <col min="5684" max="5684" width="37" style="170" customWidth="1"/>
    <col min="5685" max="5703" width="36.85546875" style="170" customWidth="1"/>
    <col min="5704" max="5704" width="37" style="170" customWidth="1"/>
    <col min="5705" max="5722" width="36.85546875" style="170" customWidth="1"/>
    <col min="5723" max="5723" width="36.5703125" style="170" customWidth="1"/>
    <col min="5724" max="5736" width="36.85546875" style="170" customWidth="1"/>
    <col min="5737" max="5737" width="36.5703125" style="170" customWidth="1"/>
    <col min="5738" max="5740" width="36.85546875" style="170" customWidth="1"/>
    <col min="5741" max="5741" width="36.5703125" style="170" customWidth="1"/>
    <col min="5742" max="5749" width="36.85546875" style="170" customWidth="1"/>
    <col min="5750" max="5750" width="36.5703125" style="170" customWidth="1"/>
    <col min="5751" max="5888" width="36.85546875" style="170"/>
    <col min="5889" max="5889" width="18.5703125" style="170" customWidth="1"/>
    <col min="5890" max="5898" width="31.42578125" style="170" customWidth="1"/>
    <col min="5899" max="5915" width="36.85546875" style="170" customWidth="1"/>
    <col min="5916" max="5916" width="37" style="170" customWidth="1"/>
    <col min="5917" max="5932" width="36.85546875" style="170" customWidth="1"/>
    <col min="5933" max="5933" width="37.140625" style="170" customWidth="1"/>
    <col min="5934" max="5935" width="36.85546875" style="170" customWidth="1"/>
    <col min="5936" max="5936" width="36.5703125" style="170" customWidth="1"/>
    <col min="5937" max="5938" width="36.85546875" style="170" customWidth="1"/>
    <col min="5939" max="5939" width="36.5703125" style="170" customWidth="1"/>
    <col min="5940" max="5940" width="37" style="170" customWidth="1"/>
    <col min="5941" max="5959" width="36.85546875" style="170" customWidth="1"/>
    <col min="5960" max="5960" width="37" style="170" customWidth="1"/>
    <col min="5961" max="5978" width="36.85546875" style="170" customWidth="1"/>
    <col min="5979" max="5979" width="36.5703125" style="170" customWidth="1"/>
    <col min="5980" max="5992" width="36.85546875" style="170" customWidth="1"/>
    <col min="5993" max="5993" width="36.5703125" style="170" customWidth="1"/>
    <col min="5994" max="5996" width="36.85546875" style="170" customWidth="1"/>
    <col min="5997" max="5997" width="36.5703125" style="170" customWidth="1"/>
    <col min="5998" max="6005" width="36.85546875" style="170" customWidth="1"/>
    <col min="6006" max="6006" width="36.5703125" style="170" customWidth="1"/>
    <col min="6007" max="6144" width="36.85546875" style="170"/>
    <col min="6145" max="6145" width="18.5703125" style="170" customWidth="1"/>
    <col min="6146" max="6154" width="31.42578125" style="170" customWidth="1"/>
    <col min="6155" max="6171" width="36.85546875" style="170" customWidth="1"/>
    <col min="6172" max="6172" width="37" style="170" customWidth="1"/>
    <col min="6173" max="6188" width="36.85546875" style="170" customWidth="1"/>
    <col min="6189" max="6189" width="37.140625" style="170" customWidth="1"/>
    <col min="6190" max="6191" width="36.85546875" style="170" customWidth="1"/>
    <col min="6192" max="6192" width="36.5703125" style="170" customWidth="1"/>
    <col min="6193" max="6194" width="36.85546875" style="170" customWidth="1"/>
    <col min="6195" max="6195" width="36.5703125" style="170" customWidth="1"/>
    <col min="6196" max="6196" width="37" style="170" customWidth="1"/>
    <col min="6197" max="6215" width="36.85546875" style="170" customWidth="1"/>
    <col min="6216" max="6216" width="37" style="170" customWidth="1"/>
    <col min="6217" max="6234" width="36.85546875" style="170" customWidth="1"/>
    <col min="6235" max="6235" width="36.5703125" style="170" customWidth="1"/>
    <col min="6236" max="6248" width="36.85546875" style="170" customWidth="1"/>
    <col min="6249" max="6249" width="36.5703125" style="170" customWidth="1"/>
    <col min="6250" max="6252" width="36.85546875" style="170" customWidth="1"/>
    <col min="6253" max="6253" width="36.5703125" style="170" customWidth="1"/>
    <col min="6254" max="6261" width="36.85546875" style="170" customWidth="1"/>
    <col min="6262" max="6262" width="36.5703125" style="170" customWidth="1"/>
    <col min="6263" max="6400" width="36.85546875" style="170"/>
    <col min="6401" max="6401" width="18.5703125" style="170" customWidth="1"/>
    <col min="6402" max="6410" width="31.42578125" style="170" customWidth="1"/>
    <col min="6411" max="6427" width="36.85546875" style="170" customWidth="1"/>
    <col min="6428" max="6428" width="37" style="170" customWidth="1"/>
    <col min="6429" max="6444" width="36.85546875" style="170" customWidth="1"/>
    <col min="6445" max="6445" width="37.140625" style="170" customWidth="1"/>
    <col min="6446" max="6447" width="36.85546875" style="170" customWidth="1"/>
    <col min="6448" max="6448" width="36.5703125" style="170" customWidth="1"/>
    <col min="6449" max="6450" width="36.85546875" style="170" customWidth="1"/>
    <col min="6451" max="6451" width="36.5703125" style="170" customWidth="1"/>
    <col min="6452" max="6452" width="37" style="170" customWidth="1"/>
    <col min="6453" max="6471" width="36.85546875" style="170" customWidth="1"/>
    <col min="6472" max="6472" width="37" style="170" customWidth="1"/>
    <col min="6473" max="6490" width="36.85546875" style="170" customWidth="1"/>
    <col min="6491" max="6491" width="36.5703125" style="170" customWidth="1"/>
    <col min="6492" max="6504" width="36.85546875" style="170" customWidth="1"/>
    <col min="6505" max="6505" width="36.5703125" style="170" customWidth="1"/>
    <col min="6506" max="6508" width="36.85546875" style="170" customWidth="1"/>
    <col min="6509" max="6509" width="36.5703125" style="170" customWidth="1"/>
    <col min="6510" max="6517" width="36.85546875" style="170" customWidth="1"/>
    <col min="6518" max="6518" width="36.5703125" style="170" customWidth="1"/>
    <col min="6519" max="6656" width="36.85546875" style="170"/>
    <col min="6657" max="6657" width="18.5703125" style="170" customWidth="1"/>
    <col min="6658" max="6666" width="31.42578125" style="170" customWidth="1"/>
    <col min="6667" max="6683" width="36.85546875" style="170" customWidth="1"/>
    <col min="6684" max="6684" width="37" style="170" customWidth="1"/>
    <col min="6685" max="6700" width="36.85546875" style="170" customWidth="1"/>
    <col min="6701" max="6701" width="37.140625" style="170" customWidth="1"/>
    <col min="6702" max="6703" width="36.85546875" style="170" customWidth="1"/>
    <col min="6704" max="6704" width="36.5703125" style="170" customWidth="1"/>
    <col min="6705" max="6706" width="36.85546875" style="170" customWidth="1"/>
    <col min="6707" max="6707" width="36.5703125" style="170" customWidth="1"/>
    <col min="6708" max="6708" width="37" style="170" customWidth="1"/>
    <col min="6709" max="6727" width="36.85546875" style="170" customWidth="1"/>
    <col min="6728" max="6728" width="37" style="170" customWidth="1"/>
    <col min="6729" max="6746" width="36.85546875" style="170" customWidth="1"/>
    <col min="6747" max="6747" width="36.5703125" style="170" customWidth="1"/>
    <col min="6748" max="6760" width="36.85546875" style="170" customWidth="1"/>
    <col min="6761" max="6761" width="36.5703125" style="170" customWidth="1"/>
    <col min="6762" max="6764" width="36.85546875" style="170" customWidth="1"/>
    <col min="6765" max="6765" width="36.5703125" style="170" customWidth="1"/>
    <col min="6766" max="6773" width="36.85546875" style="170" customWidth="1"/>
    <col min="6774" max="6774" width="36.5703125" style="170" customWidth="1"/>
    <col min="6775" max="6912" width="36.85546875" style="170"/>
    <col min="6913" max="6913" width="18.5703125" style="170" customWidth="1"/>
    <col min="6914" max="6922" width="31.42578125" style="170" customWidth="1"/>
    <col min="6923" max="6939" width="36.85546875" style="170" customWidth="1"/>
    <col min="6940" max="6940" width="37" style="170" customWidth="1"/>
    <col min="6941" max="6956" width="36.85546875" style="170" customWidth="1"/>
    <col min="6957" max="6957" width="37.140625" style="170" customWidth="1"/>
    <col min="6958" max="6959" width="36.85546875" style="170" customWidth="1"/>
    <col min="6960" max="6960" width="36.5703125" style="170" customWidth="1"/>
    <col min="6961" max="6962" width="36.85546875" style="170" customWidth="1"/>
    <col min="6963" max="6963" width="36.5703125" style="170" customWidth="1"/>
    <col min="6964" max="6964" width="37" style="170" customWidth="1"/>
    <col min="6965" max="6983" width="36.85546875" style="170" customWidth="1"/>
    <col min="6984" max="6984" width="37" style="170" customWidth="1"/>
    <col min="6985" max="7002" width="36.85546875" style="170" customWidth="1"/>
    <col min="7003" max="7003" width="36.5703125" style="170" customWidth="1"/>
    <col min="7004" max="7016" width="36.85546875" style="170" customWidth="1"/>
    <col min="7017" max="7017" width="36.5703125" style="170" customWidth="1"/>
    <col min="7018" max="7020" width="36.85546875" style="170" customWidth="1"/>
    <col min="7021" max="7021" width="36.5703125" style="170" customWidth="1"/>
    <col min="7022" max="7029" width="36.85546875" style="170" customWidth="1"/>
    <col min="7030" max="7030" width="36.5703125" style="170" customWidth="1"/>
    <col min="7031" max="7168" width="36.85546875" style="170"/>
    <col min="7169" max="7169" width="18.5703125" style="170" customWidth="1"/>
    <col min="7170" max="7178" width="31.42578125" style="170" customWidth="1"/>
    <col min="7179" max="7195" width="36.85546875" style="170" customWidth="1"/>
    <col min="7196" max="7196" width="37" style="170" customWidth="1"/>
    <col min="7197" max="7212" width="36.85546875" style="170" customWidth="1"/>
    <col min="7213" max="7213" width="37.140625" style="170" customWidth="1"/>
    <col min="7214" max="7215" width="36.85546875" style="170" customWidth="1"/>
    <col min="7216" max="7216" width="36.5703125" style="170" customWidth="1"/>
    <col min="7217" max="7218" width="36.85546875" style="170" customWidth="1"/>
    <col min="7219" max="7219" width="36.5703125" style="170" customWidth="1"/>
    <col min="7220" max="7220" width="37" style="170" customWidth="1"/>
    <col min="7221" max="7239" width="36.85546875" style="170" customWidth="1"/>
    <col min="7240" max="7240" width="37" style="170" customWidth="1"/>
    <col min="7241" max="7258" width="36.85546875" style="170" customWidth="1"/>
    <col min="7259" max="7259" width="36.5703125" style="170" customWidth="1"/>
    <col min="7260" max="7272" width="36.85546875" style="170" customWidth="1"/>
    <col min="7273" max="7273" width="36.5703125" style="170" customWidth="1"/>
    <col min="7274" max="7276" width="36.85546875" style="170" customWidth="1"/>
    <col min="7277" max="7277" width="36.5703125" style="170" customWidth="1"/>
    <col min="7278" max="7285" width="36.85546875" style="170" customWidth="1"/>
    <col min="7286" max="7286" width="36.5703125" style="170" customWidth="1"/>
    <col min="7287" max="7424" width="36.85546875" style="170"/>
    <col min="7425" max="7425" width="18.5703125" style="170" customWidth="1"/>
    <col min="7426" max="7434" width="31.42578125" style="170" customWidth="1"/>
    <col min="7435" max="7451" width="36.85546875" style="170" customWidth="1"/>
    <col min="7452" max="7452" width="37" style="170" customWidth="1"/>
    <col min="7453" max="7468" width="36.85546875" style="170" customWidth="1"/>
    <col min="7469" max="7469" width="37.140625" style="170" customWidth="1"/>
    <col min="7470" max="7471" width="36.85546875" style="170" customWidth="1"/>
    <col min="7472" max="7472" width="36.5703125" style="170" customWidth="1"/>
    <col min="7473" max="7474" width="36.85546875" style="170" customWidth="1"/>
    <col min="7475" max="7475" width="36.5703125" style="170" customWidth="1"/>
    <col min="7476" max="7476" width="37" style="170" customWidth="1"/>
    <col min="7477" max="7495" width="36.85546875" style="170" customWidth="1"/>
    <col min="7496" max="7496" width="37" style="170" customWidth="1"/>
    <col min="7497" max="7514" width="36.85546875" style="170" customWidth="1"/>
    <col min="7515" max="7515" width="36.5703125" style="170" customWidth="1"/>
    <col min="7516" max="7528" width="36.85546875" style="170" customWidth="1"/>
    <col min="7529" max="7529" width="36.5703125" style="170" customWidth="1"/>
    <col min="7530" max="7532" width="36.85546875" style="170" customWidth="1"/>
    <col min="7533" max="7533" width="36.5703125" style="170" customWidth="1"/>
    <col min="7534" max="7541" width="36.85546875" style="170" customWidth="1"/>
    <col min="7542" max="7542" width="36.5703125" style="170" customWidth="1"/>
    <col min="7543" max="7680" width="36.85546875" style="170"/>
    <col min="7681" max="7681" width="18.5703125" style="170" customWidth="1"/>
    <col min="7682" max="7690" width="31.42578125" style="170" customWidth="1"/>
    <col min="7691" max="7707" width="36.85546875" style="170" customWidth="1"/>
    <col min="7708" max="7708" width="37" style="170" customWidth="1"/>
    <col min="7709" max="7724" width="36.85546875" style="170" customWidth="1"/>
    <col min="7725" max="7725" width="37.140625" style="170" customWidth="1"/>
    <col min="7726" max="7727" width="36.85546875" style="170" customWidth="1"/>
    <col min="7728" max="7728" width="36.5703125" style="170" customWidth="1"/>
    <col min="7729" max="7730" width="36.85546875" style="170" customWidth="1"/>
    <col min="7731" max="7731" width="36.5703125" style="170" customWidth="1"/>
    <col min="7732" max="7732" width="37" style="170" customWidth="1"/>
    <col min="7733" max="7751" width="36.85546875" style="170" customWidth="1"/>
    <col min="7752" max="7752" width="37" style="170" customWidth="1"/>
    <col min="7753" max="7770" width="36.85546875" style="170" customWidth="1"/>
    <col min="7771" max="7771" width="36.5703125" style="170" customWidth="1"/>
    <col min="7772" max="7784" width="36.85546875" style="170" customWidth="1"/>
    <col min="7785" max="7785" width="36.5703125" style="170" customWidth="1"/>
    <col min="7786" max="7788" width="36.85546875" style="170" customWidth="1"/>
    <col min="7789" max="7789" width="36.5703125" style="170" customWidth="1"/>
    <col min="7790" max="7797" width="36.85546875" style="170" customWidth="1"/>
    <col min="7798" max="7798" width="36.5703125" style="170" customWidth="1"/>
    <col min="7799" max="7936" width="36.85546875" style="170"/>
    <col min="7937" max="7937" width="18.5703125" style="170" customWidth="1"/>
    <col min="7938" max="7946" width="31.42578125" style="170" customWidth="1"/>
    <col min="7947" max="7963" width="36.85546875" style="170" customWidth="1"/>
    <col min="7964" max="7964" width="37" style="170" customWidth="1"/>
    <col min="7965" max="7980" width="36.85546875" style="170" customWidth="1"/>
    <col min="7981" max="7981" width="37.140625" style="170" customWidth="1"/>
    <col min="7982" max="7983" width="36.85546875" style="170" customWidth="1"/>
    <col min="7984" max="7984" width="36.5703125" style="170" customWidth="1"/>
    <col min="7985" max="7986" width="36.85546875" style="170" customWidth="1"/>
    <col min="7987" max="7987" width="36.5703125" style="170" customWidth="1"/>
    <col min="7988" max="7988" width="37" style="170" customWidth="1"/>
    <col min="7989" max="8007" width="36.85546875" style="170" customWidth="1"/>
    <col min="8008" max="8008" width="37" style="170" customWidth="1"/>
    <col min="8009" max="8026" width="36.85546875" style="170" customWidth="1"/>
    <col min="8027" max="8027" width="36.5703125" style="170" customWidth="1"/>
    <col min="8028" max="8040" width="36.85546875" style="170" customWidth="1"/>
    <col min="8041" max="8041" width="36.5703125" style="170" customWidth="1"/>
    <col min="8042" max="8044" width="36.85546875" style="170" customWidth="1"/>
    <col min="8045" max="8045" width="36.5703125" style="170" customWidth="1"/>
    <col min="8046" max="8053" width="36.85546875" style="170" customWidth="1"/>
    <col min="8054" max="8054" width="36.5703125" style="170" customWidth="1"/>
    <col min="8055" max="8192" width="36.85546875" style="170"/>
    <col min="8193" max="8193" width="18.5703125" style="170" customWidth="1"/>
    <col min="8194" max="8202" width="31.42578125" style="170" customWidth="1"/>
    <col min="8203" max="8219" width="36.85546875" style="170" customWidth="1"/>
    <col min="8220" max="8220" width="37" style="170" customWidth="1"/>
    <col min="8221" max="8236" width="36.85546875" style="170" customWidth="1"/>
    <col min="8237" max="8237" width="37.140625" style="170" customWidth="1"/>
    <col min="8238" max="8239" width="36.85546875" style="170" customWidth="1"/>
    <col min="8240" max="8240" width="36.5703125" style="170" customWidth="1"/>
    <col min="8241" max="8242" width="36.85546875" style="170" customWidth="1"/>
    <col min="8243" max="8243" width="36.5703125" style="170" customWidth="1"/>
    <col min="8244" max="8244" width="37" style="170" customWidth="1"/>
    <col min="8245" max="8263" width="36.85546875" style="170" customWidth="1"/>
    <col min="8264" max="8264" width="37" style="170" customWidth="1"/>
    <col min="8265" max="8282" width="36.85546875" style="170" customWidth="1"/>
    <col min="8283" max="8283" width="36.5703125" style="170" customWidth="1"/>
    <col min="8284" max="8296" width="36.85546875" style="170" customWidth="1"/>
    <col min="8297" max="8297" width="36.5703125" style="170" customWidth="1"/>
    <col min="8298" max="8300" width="36.85546875" style="170" customWidth="1"/>
    <col min="8301" max="8301" width="36.5703125" style="170" customWidth="1"/>
    <col min="8302" max="8309" width="36.85546875" style="170" customWidth="1"/>
    <col min="8310" max="8310" width="36.5703125" style="170" customWidth="1"/>
    <col min="8311" max="8448" width="36.85546875" style="170"/>
    <col min="8449" max="8449" width="18.5703125" style="170" customWidth="1"/>
    <col min="8450" max="8458" width="31.42578125" style="170" customWidth="1"/>
    <col min="8459" max="8475" width="36.85546875" style="170" customWidth="1"/>
    <col min="8476" max="8476" width="37" style="170" customWidth="1"/>
    <col min="8477" max="8492" width="36.85546875" style="170" customWidth="1"/>
    <col min="8493" max="8493" width="37.140625" style="170" customWidth="1"/>
    <col min="8494" max="8495" width="36.85546875" style="170" customWidth="1"/>
    <col min="8496" max="8496" width="36.5703125" style="170" customWidth="1"/>
    <col min="8497" max="8498" width="36.85546875" style="170" customWidth="1"/>
    <col min="8499" max="8499" width="36.5703125" style="170" customWidth="1"/>
    <col min="8500" max="8500" width="37" style="170" customWidth="1"/>
    <col min="8501" max="8519" width="36.85546875" style="170" customWidth="1"/>
    <col min="8520" max="8520" width="37" style="170" customWidth="1"/>
    <col min="8521" max="8538" width="36.85546875" style="170" customWidth="1"/>
    <col min="8539" max="8539" width="36.5703125" style="170" customWidth="1"/>
    <col min="8540" max="8552" width="36.85546875" style="170" customWidth="1"/>
    <col min="8553" max="8553" width="36.5703125" style="170" customWidth="1"/>
    <col min="8554" max="8556" width="36.85546875" style="170" customWidth="1"/>
    <col min="8557" max="8557" width="36.5703125" style="170" customWidth="1"/>
    <col min="8558" max="8565" width="36.85546875" style="170" customWidth="1"/>
    <col min="8566" max="8566" width="36.5703125" style="170" customWidth="1"/>
    <col min="8567" max="8704" width="36.85546875" style="170"/>
    <col min="8705" max="8705" width="18.5703125" style="170" customWidth="1"/>
    <col min="8706" max="8714" width="31.42578125" style="170" customWidth="1"/>
    <col min="8715" max="8731" width="36.85546875" style="170" customWidth="1"/>
    <col min="8732" max="8732" width="37" style="170" customWidth="1"/>
    <col min="8733" max="8748" width="36.85546875" style="170" customWidth="1"/>
    <col min="8749" max="8749" width="37.140625" style="170" customWidth="1"/>
    <col min="8750" max="8751" width="36.85546875" style="170" customWidth="1"/>
    <col min="8752" max="8752" width="36.5703125" style="170" customWidth="1"/>
    <col min="8753" max="8754" width="36.85546875" style="170" customWidth="1"/>
    <col min="8755" max="8755" width="36.5703125" style="170" customWidth="1"/>
    <col min="8756" max="8756" width="37" style="170" customWidth="1"/>
    <col min="8757" max="8775" width="36.85546875" style="170" customWidth="1"/>
    <col min="8776" max="8776" width="37" style="170" customWidth="1"/>
    <col min="8777" max="8794" width="36.85546875" style="170" customWidth="1"/>
    <col min="8795" max="8795" width="36.5703125" style="170" customWidth="1"/>
    <col min="8796" max="8808" width="36.85546875" style="170" customWidth="1"/>
    <col min="8809" max="8809" width="36.5703125" style="170" customWidth="1"/>
    <col min="8810" max="8812" width="36.85546875" style="170" customWidth="1"/>
    <col min="8813" max="8813" width="36.5703125" style="170" customWidth="1"/>
    <col min="8814" max="8821" width="36.85546875" style="170" customWidth="1"/>
    <col min="8822" max="8822" width="36.5703125" style="170" customWidth="1"/>
    <col min="8823" max="8960" width="36.85546875" style="170"/>
    <col min="8961" max="8961" width="18.5703125" style="170" customWidth="1"/>
    <col min="8962" max="8970" width="31.42578125" style="170" customWidth="1"/>
    <col min="8971" max="8987" width="36.85546875" style="170" customWidth="1"/>
    <col min="8988" max="8988" width="37" style="170" customWidth="1"/>
    <col min="8989" max="9004" width="36.85546875" style="170" customWidth="1"/>
    <col min="9005" max="9005" width="37.140625" style="170" customWidth="1"/>
    <col min="9006" max="9007" width="36.85546875" style="170" customWidth="1"/>
    <col min="9008" max="9008" width="36.5703125" style="170" customWidth="1"/>
    <col min="9009" max="9010" width="36.85546875" style="170" customWidth="1"/>
    <col min="9011" max="9011" width="36.5703125" style="170" customWidth="1"/>
    <col min="9012" max="9012" width="37" style="170" customWidth="1"/>
    <col min="9013" max="9031" width="36.85546875" style="170" customWidth="1"/>
    <col min="9032" max="9032" width="37" style="170" customWidth="1"/>
    <col min="9033" max="9050" width="36.85546875" style="170" customWidth="1"/>
    <col min="9051" max="9051" width="36.5703125" style="170" customWidth="1"/>
    <col min="9052" max="9064" width="36.85546875" style="170" customWidth="1"/>
    <col min="9065" max="9065" width="36.5703125" style="170" customWidth="1"/>
    <col min="9066" max="9068" width="36.85546875" style="170" customWidth="1"/>
    <col min="9069" max="9069" width="36.5703125" style="170" customWidth="1"/>
    <col min="9070" max="9077" width="36.85546875" style="170" customWidth="1"/>
    <col min="9078" max="9078" width="36.5703125" style="170" customWidth="1"/>
    <col min="9079" max="9216" width="36.85546875" style="170"/>
    <col min="9217" max="9217" width="18.5703125" style="170" customWidth="1"/>
    <col min="9218" max="9226" width="31.42578125" style="170" customWidth="1"/>
    <col min="9227" max="9243" width="36.85546875" style="170" customWidth="1"/>
    <col min="9244" max="9244" width="37" style="170" customWidth="1"/>
    <col min="9245" max="9260" width="36.85546875" style="170" customWidth="1"/>
    <col min="9261" max="9261" width="37.140625" style="170" customWidth="1"/>
    <col min="9262" max="9263" width="36.85546875" style="170" customWidth="1"/>
    <col min="9264" max="9264" width="36.5703125" style="170" customWidth="1"/>
    <col min="9265" max="9266" width="36.85546875" style="170" customWidth="1"/>
    <col min="9267" max="9267" width="36.5703125" style="170" customWidth="1"/>
    <col min="9268" max="9268" width="37" style="170" customWidth="1"/>
    <col min="9269" max="9287" width="36.85546875" style="170" customWidth="1"/>
    <col min="9288" max="9288" width="37" style="170" customWidth="1"/>
    <col min="9289" max="9306" width="36.85546875" style="170" customWidth="1"/>
    <col min="9307" max="9307" width="36.5703125" style="170" customWidth="1"/>
    <col min="9308" max="9320" width="36.85546875" style="170" customWidth="1"/>
    <col min="9321" max="9321" width="36.5703125" style="170" customWidth="1"/>
    <col min="9322" max="9324" width="36.85546875" style="170" customWidth="1"/>
    <col min="9325" max="9325" width="36.5703125" style="170" customWidth="1"/>
    <col min="9326" max="9333" width="36.85546875" style="170" customWidth="1"/>
    <col min="9334" max="9334" width="36.5703125" style="170" customWidth="1"/>
    <col min="9335" max="9472" width="36.85546875" style="170"/>
    <col min="9473" max="9473" width="18.5703125" style="170" customWidth="1"/>
    <col min="9474" max="9482" width="31.42578125" style="170" customWidth="1"/>
    <col min="9483" max="9499" width="36.85546875" style="170" customWidth="1"/>
    <col min="9500" max="9500" width="37" style="170" customWidth="1"/>
    <col min="9501" max="9516" width="36.85546875" style="170" customWidth="1"/>
    <col min="9517" max="9517" width="37.140625" style="170" customWidth="1"/>
    <col min="9518" max="9519" width="36.85546875" style="170" customWidth="1"/>
    <col min="9520" max="9520" width="36.5703125" style="170" customWidth="1"/>
    <col min="9521" max="9522" width="36.85546875" style="170" customWidth="1"/>
    <col min="9523" max="9523" width="36.5703125" style="170" customWidth="1"/>
    <col min="9524" max="9524" width="37" style="170" customWidth="1"/>
    <col min="9525" max="9543" width="36.85546875" style="170" customWidth="1"/>
    <col min="9544" max="9544" width="37" style="170" customWidth="1"/>
    <col min="9545" max="9562" width="36.85546875" style="170" customWidth="1"/>
    <col min="9563" max="9563" width="36.5703125" style="170" customWidth="1"/>
    <col min="9564" max="9576" width="36.85546875" style="170" customWidth="1"/>
    <col min="9577" max="9577" width="36.5703125" style="170" customWidth="1"/>
    <col min="9578" max="9580" width="36.85546875" style="170" customWidth="1"/>
    <col min="9581" max="9581" width="36.5703125" style="170" customWidth="1"/>
    <col min="9582" max="9589" width="36.85546875" style="170" customWidth="1"/>
    <col min="9590" max="9590" width="36.5703125" style="170" customWidth="1"/>
    <col min="9591" max="9728" width="36.85546875" style="170"/>
    <col min="9729" max="9729" width="18.5703125" style="170" customWidth="1"/>
    <col min="9730" max="9738" width="31.42578125" style="170" customWidth="1"/>
    <col min="9739" max="9755" width="36.85546875" style="170" customWidth="1"/>
    <col min="9756" max="9756" width="37" style="170" customWidth="1"/>
    <col min="9757" max="9772" width="36.85546875" style="170" customWidth="1"/>
    <col min="9773" max="9773" width="37.140625" style="170" customWidth="1"/>
    <col min="9774" max="9775" width="36.85546875" style="170" customWidth="1"/>
    <col min="9776" max="9776" width="36.5703125" style="170" customWidth="1"/>
    <col min="9777" max="9778" width="36.85546875" style="170" customWidth="1"/>
    <col min="9779" max="9779" width="36.5703125" style="170" customWidth="1"/>
    <col min="9780" max="9780" width="37" style="170" customWidth="1"/>
    <col min="9781" max="9799" width="36.85546875" style="170" customWidth="1"/>
    <col min="9800" max="9800" width="37" style="170" customWidth="1"/>
    <col min="9801" max="9818" width="36.85546875" style="170" customWidth="1"/>
    <col min="9819" max="9819" width="36.5703125" style="170" customWidth="1"/>
    <col min="9820" max="9832" width="36.85546875" style="170" customWidth="1"/>
    <col min="9833" max="9833" width="36.5703125" style="170" customWidth="1"/>
    <col min="9834" max="9836" width="36.85546875" style="170" customWidth="1"/>
    <col min="9837" max="9837" width="36.5703125" style="170" customWidth="1"/>
    <col min="9838" max="9845" width="36.85546875" style="170" customWidth="1"/>
    <col min="9846" max="9846" width="36.5703125" style="170" customWidth="1"/>
    <col min="9847" max="9984" width="36.85546875" style="170"/>
    <col min="9985" max="9985" width="18.5703125" style="170" customWidth="1"/>
    <col min="9986" max="9994" width="31.42578125" style="170" customWidth="1"/>
    <col min="9995" max="10011" width="36.85546875" style="170" customWidth="1"/>
    <col min="10012" max="10012" width="37" style="170" customWidth="1"/>
    <col min="10013" max="10028" width="36.85546875" style="170" customWidth="1"/>
    <col min="10029" max="10029" width="37.140625" style="170" customWidth="1"/>
    <col min="10030" max="10031" width="36.85546875" style="170" customWidth="1"/>
    <col min="10032" max="10032" width="36.5703125" style="170" customWidth="1"/>
    <col min="10033" max="10034" width="36.85546875" style="170" customWidth="1"/>
    <col min="10035" max="10035" width="36.5703125" style="170" customWidth="1"/>
    <col min="10036" max="10036" width="37" style="170" customWidth="1"/>
    <col min="10037" max="10055" width="36.85546875" style="170" customWidth="1"/>
    <col min="10056" max="10056" width="37" style="170" customWidth="1"/>
    <col min="10057" max="10074" width="36.85546875" style="170" customWidth="1"/>
    <col min="10075" max="10075" width="36.5703125" style="170" customWidth="1"/>
    <col min="10076" max="10088" width="36.85546875" style="170" customWidth="1"/>
    <col min="10089" max="10089" width="36.5703125" style="170" customWidth="1"/>
    <col min="10090" max="10092" width="36.85546875" style="170" customWidth="1"/>
    <col min="10093" max="10093" width="36.5703125" style="170" customWidth="1"/>
    <col min="10094" max="10101" width="36.85546875" style="170" customWidth="1"/>
    <col min="10102" max="10102" width="36.5703125" style="170" customWidth="1"/>
    <col min="10103" max="10240" width="36.85546875" style="170"/>
    <col min="10241" max="10241" width="18.5703125" style="170" customWidth="1"/>
    <col min="10242" max="10250" width="31.42578125" style="170" customWidth="1"/>
    <col min="10251" max="10267" width="36.85546875" style="170" customWidth="1"/>
    <col min="10268" max="10268" width="37" style="170" customWidth="1"/>
    <col min="10269" max="10284" width="36.85546875" style="170" customWidth="1"/>
    <col min="10285" max="10285" width="37.140625" style="170" customWidth="1"/>
    <col min="10286" max="10287" width="36.85546875" style="170" customWidth="1"/>
    <col min="10288" max="10288" width="36.5703125" style="170" customWidth="1"/>
    <col min="10289" max="10290" width="36.85546875" style="170" customWidth="1"/>
    <col min="10291" max="10291" width="36.5703125" style="170" customWidth="1"/>
    <col min="10292" max="10292" width="37" style="170" customWidth="1"/>
    <col min="10293" max="10311" width="36.85546875" style="170" customWidth="1"/>
    <col min="10312" max="10312" width="37" style="170" customWidth="1"/>
    <col min="10313" max="10330" width="36.85546875" style="170" customWidth="1"/>
    <col min="10331" max="10331" width="36.5703125" style="170" customWidth="1"/>
    <col min="10332" max="10344" width="36.85546875" style="170" customWidth="1"/>
    <col min="10345" max="10345" width="36.5703125" style="170" customWidth="1"/>
    <col min="10346" max="10348" width="36.85546875" style="170" customWidth="1"/>
    <col min="10349" max="10349" width="36.5703125" style="170" customWidth="1"/>
    <col min="10350" max="10357" width="36.85546875" style="170" customWidth="1"/>
    <col min="10358" max="10358" width="36.5703125" style="170" customWidth="1"/>
    <col min="10359" max="10496" width="36.85546875" style="170"/>
    <col min="10497" max="10497" width="18.5703125" style="170" customWidth="1"/>
    <col min="10498" max="10506" width="31.42578125" style="170" customWidth="1"/>
    <col min="10507" max="10523" width="36.85546875" style="170" customWidth="1"/>
    <col min="10524" max="10524" width="37" style="170" customWidth="1"/>
    <col min="10525" max="10540" width="36.85546875" style="170" customWidth="1"/>
    <col min="10541" max="10541" width="37.140625" style="170" customWidth="1"/>
    <col min="10542" max="10543" width="36.85546875" style="170" customWidth="1"/>
    <col min="10544" max="10544" width="36.5703125" style="170" customWidth="1"/>
    <col min="10545" max="10546" width="36.85546875" style="170" customWidth="1"/>
    <col min="10547" max="10547" width="36.5703125" style="170" customWidth="1"/>
    <col min="10548" max="10548" width="37" style="170" customWidth="1"/>
    <col min="10549" max="10567" width="36.85546875" style="170" customWidth="1"/>
    <col min="10568" max="10568" width="37" style="170" customWidth="1"/>
    <col min="10569" max="10586" width="36.85546875" style="170" customWidth="1"/>
    <col min="10587" max="10587" width="36.5703125" style="170" customWidth="1"/>
    <col min="10588" max="10600" width="36.85546875" style="170" customWidth="1"/>
    <col min="10601" max="10601" width="36.5703125" style="170" customWidth="1"/>
    <col min="10602" max="10604" width="36.85546875" style="170" customWidth="1"/>
    <col min="10605" max="10605" width="36.5703125" style="170" customWidth="1"/>
    <col min="10606" max="10613" width="36.85546875" style="170" customWidth="1"/>
    <col min="10614" max="10614" width="36.5703125" style="170" customWidth="1"/>
    <col min="10615" max="10752" width="36.85546875" style="170"/>
    <col min="10753" max="10753" width="18.5703125" style="170" customWidth="1"/>
    <col min="10754" max="10762" width="31.42578125" style="170" customWidth="1"/>
    <col min="10763" max="10779" width="36.85546875" style="170" customWidth="1"/>
    <col min="10780" max="10780" width="37" style="170" customWidth="1"/>
    <col min="10781" max="10796" width="36.85546875" style="170" customWidth="1"/>
    <col min="10797" max="10797" width="37.140625" style="170" customWidth="1"/>
    <col min="10798" max="10799" width="36.85546875" style="170" customWidth="1"/>
    <col min="10800" max="10800" width="36.5703125" style="170" customWidth="1"/>
    <col min="10801" max="10802" width="36.85546875" style="170" customWidth="1"/>
    <col min="10803" max="10803" width="36.5703125" style="170" customWidth="1"/>
    <col min="10804" max="10804" width="37" style="170" customWidth="1"/>
    <col min="10805" max="10823" width="36.85546875" style="170" customWidth="1"/>
    <col min="10824" max="10824" width="37" style="170" customWidth="1"/>
    <col min="10825" max="10842" width="36.85546875" style="170" customWidth="1"/>
    <col min="10843" max="10843" width="36.5703125" style="170" customWidth="1"/>
    <col min="10844" max="10856" width="36.85546875" style="170" customWidth="1"/>
    <col min="10857" max="10857" width="36.5703125" style="170" customWidth="1"/>
    <col min="10858" max="10860" width="36.85546875" style="170" customWidth="1"/>
    <col min="10861" max="10861" width="36.5703125" style="170" customWidth="1"/>
    <col min="10862" max="10869" width="36.85546875" style="170" customWidth="1"/>
    <col min="10870" max="10870" width="36.5703125" style="170" customWidth="1"/>
    <col min="10871" max="11008" width="36.85546875" style="170"/>
    <col min="11009" max="11009" width="18.5703125" style="170" customWidth="1"/>
    <col min="11010" max="11018" width="31.42578125" style="170" customWidth="1"/>
    <col min="11019" max="11035" width="36.85546875" style="170" customWidth="1"/>
    <col min="11036" max="11036" width="37" style="170" customWidth="1"/>
    <col min="11037" max="11052" width="36.85546875" style="170" customWidth="1"/>
    <col min="11053" max="11053" width="37.140625" style="170" customWidth="1"/>
    <col min="11054" max="11055" width="36.85546875" style="170" customWidth="1"/>
    <col min="11056" max="11056" width="36.5703125" style="170" customWidth="1"/>
    <col min="11057" max="11058" width="36.85546875" style="170" customWidth="1"/>
    <col min="11059" max="11059" width="36.5703125" style="170" customWidth="1"/>
    <col min="11060" max="11060" width="37" style="170" customWidth="1"/>
    <col min="11061" max="11079" width="36.85546875" style="170" customWidth="1"/>
    <col min="11080" max="11080" width="37" style="170" customWidth="1"/>
    <col min="11081" max="11098" width="36.85546875" style="170" customWidth="1"/>
    <col min="11099" max="11099" width="36.5703125" style="170" customWidth="1"/>
    <col min="11100" max="11112" width="36.85546875" style="170" customWidth="1"/>
    <col min="11113" max="11113" width="36.5703125" style="170" customWidth="1"/>
    <col min="11114" max="11116" width="36.85546875" style="170" customWidth="1"/>
    <col min="11117" max="11117" width="36.5703125" style="170" customWidth="1"/>
    <col min="11118" max="11125" width="36.85546875" style="170" customWidth="1"/>
    <col min="11126" max="11126" width="36.5703125" style="170" customWidth="1"/>
    <col min="11127" max="11264" width="36.85546875" style="170"/>
    <col min="11265" max="11265" width="18.5703125" style="170" customWidth="1"/>
    <col min="11266" max="11274" width="31.42578125" style="170" customWidth="1"/>
    <col min="11275" max="11291" width="36.85546875" style="170" customWidth="1"/>
    <col min="11292" max="11292" width="37" style="170" customWidth="1"/>
    <col min="11293" max="11308" width="36.85546875" style="170" customWidth="1"/>
    <col min="11309" max="11309" width="37.140625" style="170" customWidth="1"/>
    <col min="11310" max="11311" width="36.85546875" style="170" customWidth="1"/>
    <col min="11312" max="11312" width="36.5703125" style="170" customWidth="1"/>
    <col min="11313" max="11314" width="36.85546875" style="170" customWidth="1"/>
    <col min="11315" max="11315" width="36.5703125" style="170" customWidth="1"/>
    <col min="11316" max="11316" width="37" style="170" customWidth="1"/>
    <col min="11317" max="11335" width="36.85546875" style="170" customWidth="1"/>
    <col min="11336" max="11336" width="37" style="170" customWidth="1"/>
    <col min="11337" max="11354" width="36.85546875" style="170" customWidth="1"/>
    <col min="11355" max="11355" width="36.5703125" style="170" customWidth="1"/>
    <col min="11356" max="11368" width="36.85546875" style="170" customWidth="1"/>
    <col min="11369" max="11369" width="36.5703125" style="170" customWidth="1"/>
    <col min="11370" max="11372" width="36.85546875" style="170" customWidth="1"/>
    <col min="11373" max="11373" width="36.5703125" style="170" customWidth="1"/>
    <col min="11374" max="11381" width="36.85546875" style="170" customWidth="1"/>
    <col min="11382" max="11382" width="36.5703125" style="170" customWidth="1"/>
    <col min="11383" max="11520" width="36.85546875" style="170"/>
    <col min="11521" max="11521" width="18.5703125" style="170" customWidth="1"/>
    <col min="11522" max="11530" width="31.42578125" style="170" customWidth="1"/>
    <col min="11531" max="11547" width="36.85546875" style="170" customWidth="1"/>
    <col min="11548" max="11548" width="37" style="170" customWidth="1"/>
    <col min="11549" max="11564" width="36.85546875" style="170" customWidth="1"/>
    <col min="11565" max="11565" width="37.140625" style="170" customWidth="1"/>
    <col min="11566" max="11567" width="36.85546875" style="170" customWidth="1"/>
    <col min="11568" max="11568" width="36.5703125" style="170" customWidth="1"/>
    <col min="11569" max="11570" width="36.85546875" style="170" customWidth="1"/>
    <col min="11571" max="11571" width="36.5703125" style="170" customWidth="1"/>
    <col min="11572" max="11572" width="37" style="170" customWidth="1"/>
    <col min="11573" max="11591" width="36.85546875" style="170" customWidth="1"/>
    <col min="11592" max="11592" width="37" style="170" customWidth="1"/>
    <col min="11593" max="11610" width="36.85546875" style="170" customWidth="1"/>
    <col min="11611" max="11611" width="36.5703125" style="170" customWidth="1"/>
    <col min="11612" max="11624" width="36.85546875" style="170" customWidth="1"/>
    <col min="11625" max="11625" width="36.5703125" style="170" customWidth="1"/>
    <col min="11626" max="11628" width="36.85546875" style="170" customWidth="1"/>
    <col min="11629" max="11629" width="36.5703125" style="170" customWidth="1"/>
    <col min="11630" max="11637" width="36.85546875" style="170" customWidth="1"/>
    <col min="11638" max="11638" width="36.5703125" style="170" customWidth="1"/>
    <col min="11639" max="11776" width="36.85546875" style="170"/>
    <col min="11777" max="11777" width="18.5703125" style="170" customWidth="1"/>
    <col min="11778" max="11786" width="31.42578125" style="170" customWidth="1"/>
    <col min="11787" max="11803" width="36.85546875" style="170" customWidth="1"/>
    <col min="11804" max="11804" width="37" style="170" customWidth="1"/>
    <col min="11805" max="11820" width="36.85546875" style="170" customWidth="1"/>
    <col min="11821" max="11821" width="37.140625" style="170" customWidth="1"/>
    <col min="11822" max="11823" width="36.85546875" style="170" customWidth="1"/>
    <col min="11824" max="11824" width="36.5703125" style="170" customWidth="1"/>
    <col min="11825" max="11826" width="36.85546875" style="170" customWidth="1"/>
    <col min="11827" max="11827" width="36.5703125" style="170" customWidth="1"/>
    <col min="11828" max="11828" width="37" style="170" customWidth="1"/>
    <col min="11829" max="11847" width="36.85546875" style="170" customWidth="1"/>
    <col min="11848" max="11848" width="37" style="170" customWidth="1"/>
    <col min="11849" max="11866" width="36.85546875" style="170" customWidth="1"/>
    <col min="11867" max="11867" width="36.5703125" style="170" customWidth="1"/>
    <col min="11868" max="11880" width="36.85546875" style="170" customWidth="1"/>
    <col min="11881" max="11881" width="36.5703125" style="170" customWidth="1"/>
    <col min="11882" max="11884" width="36.85546875" style="170" customWidth="1"/>
    <col min="11885" max="11885" width="36.5703125" style="170" customWidth="1"/>
    <col min="11886" max="11893" width="36.85546875" style="170" customWidth="1"/>
    <col min="11894" max="11894" width="36.5703125" style="170" customWidth="1"/>
    <col min="11895" max="12032" width="36.85546875" style="170"/>
    <col min="12033" max="12033" width="18.5703125" style="170" customWidth="1"/>
    <col min="12034" max="12042" width="31.42578125" style="170" customWidth="1"/>
    <col min="12043" max="12059" width="36.85546875" style="170" customWidth="1"/>
    <col min="12060" max="12060" width="37" style="170" customWidth="1"/>
    <col min="12061" max="12076" width="36.85546875" style="170" customWidth="1"/>
    <col min="12077" max="12077" width="37.140625" style="170" customWidth="1"/>
    <col min="12078" max="12079" width="36.85546875" style="170" customWidth="1"/>
    <col min="12080" max="12080" width="36.5703125" style="170" customWidth="1"/>
    <col min="12081" max="12082" width="36.85546875" style="170" customWidth="1"/>
    <col min="12083" max="12083" width="36.5703125" style="170" customWidth="1"/>
    <col min="12084" max="12084" width="37" style="170" customWidth="1"/>
    <col min="12085" max="12103" width="36.85546875" style="170" customWidth="1"/>
    <col min="12104" max="12104" width="37" style="170" customWidth="1"/>
    <col min="12105" max="12122" width="36.85546875" style="170" customWidth="1"/>
    <col min="12123" max="12123" width="36.5703125" style="170" customWidth="1"/>
    <col min="12124" max="12136" width="36.85546875" style="170" customWidth="1"/>
    <col min="12137" max="12137" width="36.5703125" style="170" customWidth="1"/>
    <col min="12138" max="12140" width="36.85546875" style="170" customWidth="1"/>
    <col min="12141" max="12141" width="36.5703125" style="170" customWidth="1"/>
    <col min="12142" max="12149" width="36.85546875" style="170" customWidth="1"/>
    <col min="12150" max="12150" width="36.5703125" style="170" customWidth="1"/>
    <col min="12151" max="12288" width="36.85546875" style="170"/>
    <col min="12289" max="12289" width="18.5703125" style="170" customWidth="1"/>
    <col min="12290" max="12298" width="31.42578125" style="170" customWidth="1"/>
    <col min="12299" max="12315" width="36.85546875" style="170" customWidth="1"/>
    <col min="12316" max="12316" width="37" style="170" customWidth="1"/>
    <col min="12317" max="12332" width="36.85546875" style="170" customWidth="1"/>
    <col min="12333" max="12333" width="37.140625" style="170" customWidth="1"/>
    <col min="12334" max="12335" width="36.85546875" style="170" customWidth="1"/>
    <col min="12336" max="12336" width="36.5703125" style="170" customWidth="1"/>
    <col min="12337" max="12338" width="36.85546875" style="170" customWidth="1"/>
    <col min="12339" max="12339" width="36.5703125" style="170" customWidth="1"/>
    <col min="12340" max="12340" width="37" style="170" customWidth="1"/>
    <col min="12341" max="12359" width="36.85546875" style="170" customWidth="1"/>
    <col min="12360" max="12360" width="37" style="170" customWidth="1"/>
    <col min="12361" max="12378" width="36.85546875" style="170" customWidth="1"/>
    <col min="12379" max="12379" width="36.5703125" style="170" customWidth="1"/>
    <col min="12380" max="12392" width="36.85546875" style="170" customWidth="1"/>
    <col min="12393" max="12393" width="36.5703125" style="170" customWidth="1"/>
    <col min="12394" max="12396" width="36.85546875" style="170" customWidth="1"/>
    <col min="12397" max="12397" width="36.5703125" style="170" customWidth="1"/>
    <col min="12398" max="12405" width="36.85546875" style="170" customWidth="1"/>
    <col min="12406" max="12406" width="36.5703125" style="170" customWidth="1"/>
    <col min="12407" max="12544" width="36.85546875" style="170"/>
    <col min="12545" max="12545" width="18.5703125" style="170" customWidth="1"/>
    <col min="12546" max="12554" width="31.42578125" style="170" customWidth="1"/>
    <col min="12555" max="12571" width="36.85546875" style="170" customWidth="1"/>
    <col min="12572" max="12572" width="37" style="170" customWidth="1"/>
    <col min="12573" max="12588" width="36.85546875" style="170" customWidth="1"/>
    <col min="12589" max="12589" width="37.140625" style="170" customWidth="1"/>
    <col min="12590" max="12591" width="36.85546875" style="170" customWidth="1"/>
    <col min="12592" max="12592" width="36.5703125" style="170" customWidth="1"/>
    <col min="12593" max="12594" width="36.85546875" style="170" customWidth="1"/>
    <col min="12595" max="12595" width="36.5703125" style="170" customWidth="1"/>
    <col min="12596" max="12596" width="37" style="170" customWidth="1"/>
    <col min="12597" max="12615" width="36.85546875" style="170" customWidth="1"/>
    <col min="12616" max="12616" width="37" style="170" customWidth="1"/>
    <col min="12617" max="12634" width="36.85546875" style="170" customWidth="1"/>
    <col min="12635" max="12635" width="36.5703125" style="170" customWidth="1"/>
    <col min="12636" max="12648" width="36.85546875" style="170" customWidth="1"/>
    <col min="12649" max="12649" width="36.5703125" style="170" customWidth="1"/>
    <col min="12650" max="12652" width="36.85546875" style="170" customWidth="1"/>
    <col min="12653" max="12653" width="36.5703125" style="170" customWidth="1"/>
    <col min="12654" max="12661" width="36.85546875" style="170" customWidth="1"/>
    <col min="12662" max="12662" width="36.5703125" style="170" customWidth="1"/>
    <col min="12663" max="12800" width="36.85546875" style="170"/>
    <col min="12801" max="12801" width="18.5703125" style="170" customWidth="1"/>
    <col min="12802" max="12810" width="31.42578125" style="170" customWidth="1"/>
    <col min="12811" max="12827" width="36.85546875" style="170" customWidth="1"/>
    <col min="12828" max="12828" width="37" style="170" customWidth="1"/>
    <col min="12829" max="12844" width="36.85546875" style="170" customWidth="1"/>
    <col min="12845" max="12845" width="37.140625" style="170" customWidth="1"/>
    <col min="12846" max="12847" width="36.85546875" style="170" customWidth="1"/>
    <col min="12848" max="12848" width="36.5703125" style="170" customWidth="1"/>
    <col min="12849" max="12850" width="36.85546875" style="170" customWidth="1"/>
    <col min="12851" max="12851" width="36.5703125" style="170" customWidth="1"/>
    <col min="12852" max="12852" width="37" style="170" customWidth="1"/>
    <col min="12853" max="12871" width="36.85546875" style="170" customWidth="1"/>
    <col min="12872" max="12872" width="37" style="170" customWidth="1"/>
    <col min="12873" max="12890" width="36.85546875" style="170" customWidth="1"/>
    <col min="12891" max="12891" width="36.5703125" style="170" customWidth="1"/>
    <col min="12892" max="12904" width="36.85546875" style="170" customWidth="1"/>
    <col min="12905" max="12905" width="36.5703125" style="170" customWidth="1"/>
    <col min="12906" max="12908" width="36.85546875" style="170" customWidth="1"/>
    <col min="12909" max="12909" width="36.5703125" style="170" customWidth="1"/>
    <col min="12910" max="12917" width="36.85546875" style="170" customWidth="1"/>
    <col min="12918" max="12918" width="36.5703125" style="170" customWidth="1"/>
    <col min="12919" max="13056" width="36.85546875" style="170"/>
    <col min="13057" max="13057" width="18.5703125" style="170" customWidth="1"/>
    <col min="13058" max="13066" width="31.42578125" style="170" customWidth="1"/>
    <col min="13067" max="13083" width="36.85546875" style="170" customWidth="1"/>
    <col min="13084" max="13084" width="37" style="170" customWidth="1"/>
    <col min="13085" max="13100" width="36.85546875" style="170" customWidth="1"/>
    <col min="13101" max="13101" width="37.140625" style="170" customWidth="1"/>
    <col min="13102" max="13103" width="36.85546875" style="170" customWidth="1"/>
    <col min="13104" max="13104" width="36.5703125" style="170" customWidth="1"/>
    <col min="13105" max="13106" width="36.85546875" style="170" customWidth="1"/>
    <col min="13107" max="13107" width="36.5703125" style="170" customWidth="1"/>
    <col min="13108" max="13108" width="37" style="170" customWidth="1"/>
    <col min="13109" max="13127" width="36.85546875" style="170" customWidth="1"/>
    <col min="13128" max="13128" width="37" style="170" customWidth="1"/>
    <col min="13129" max="13146" width="36.85546875" style="170" customWidth="1"/>
    <col min="13147" max="13147" width="36.5703125" style="170" customWidth="1"/>
    <col min="13148" max="13160" width="36.85546875" style="170" customWidth="1"/>
    <col min="13161" max="13161" width="36.5703125" style="170" customWidth="1"/>
    <col min="13162" max="13164" width="36.85546875" style="170" customWidth="1"/>
    <col min="13165" max="13165" width="36.5703125" style="170" customWidth="1"/>
    <col min="13166" max="13173" width="36.85546875" style="170" customWidth="1"/>
    <col min="13174" max="13174" width="36.5703125" style="170" customWidth="1"/>
    <col min="13175" max="13312" width="36.85546875" style="170"/>
    <col min="13313" max="13313" width="18.5703125" style="170" customWidth="1"/>
    <col min="13314" max="13322" width="31.42578125" style="170" customWidth="1"/>
    <col min="13323" max="13339" width="36.85546875" style="170" customWidth="1"/>
    <col min="13340" max="13340" width="37" style="170" customWidth="1"/>
    <col min="13341" max="13356" width="36.85546875" style="170" customWidth="1"/>
    <col min="13357" max="13357" width="37.140625" style="170" customWidth="1"/>
    <col min="13358" max="13359" width="36.85546875" style="170" customWidth="1"/>
    <col min="13360" max="13360" width="36.5703125" style="170" customWidth="1"/>
    <col min="13361" max="13362" width="36.85546875" style="170" customWidth="1"/>
    <col min="13363" max="13363" width="36.5703125" style="170" customWidth="1"/>
    <col min="13364" max="13364" width="37" style="170" customWidth="1"/>
    <col min="13365" max="13383" width="36.85546875" style="170" customWidth="1"/>
    <col min="13384" max="13384" width="37" style="170" customWidth="1"/>
    <col min="13385" max="13402" width="36.85546875" style="170" customWidth="1"/>
    <col min="13403" max="13403" width="36.5703125" style="170" customWidth="1"/>
    <col min="13404" max="13416" width="36.85546875" style="170" customWidth="1"/>
    <col min="13417" max="13417" width="36.5703125" style="170" customWidth="1"/>
    <col min="13418" max="13420" width="36.85546875" style="170" customWidth="1"/>
    <col min="13421" max="13421" width="36.5703125" style="170" customWidth="1"/>
    <col min="13422" max="13429" width="36.85546875" style="170" customWidth="1"/>
    <col min="13430" max="13430" width="36.5703125" style="170" customWidth="1"/>
    <col min="13431" max="13568" width="36.85546875" style="170"/>
    <col min="13569" max="13569" width="18.5703125" style="170" customWidth="1"/>
    <col min="13570" max="13578" width="31.42578125" style="170" customWidth="1"/>
    <col min="13579" max="13595" width="36.85546875" style="170" customWidth="1"/>
    <col min="13596" max="13596" width="37" style="170" customWidth="1"/>
    <col min="13597" max="13612" width="36.85546875" style="170" customWidth="1"/>
    <col min="13613" max="13613" width="37.140625" style="170" customWidth="1"/>
    <col min="13614" max="13615" width="36.85546875" style="170" customWidth="1"/>
    <col min="13616" max="13616" width="36.5703125" style="170" customWidth="1"/>
    <col min="13617" max="13618" width="36.85546875" style="170" customWidth="1"/>
    <col min="13619" max="13619" width="36.5703125" style="170" customWidth="1"/>
    <col min="13620" max="13620" width="37" style="170" customWidth="1"/>
    <col min="13621" max="13639" width="36.85546875" style="170" customWidth="1"/>
    <col min="13640" max="13640" width="37" style="170" customWidth="1"/>
    <col min="13641" max="13658" width="36.85546875" style="170" customWidth="1"/>
    <col min="13659" max="13659" width="36.5703125" style="170" customWidth="1"/>
    <col min="13660" max="13672" width="36.85546875" style="170" customWidth="1"/>
    <col min="13673" max="13673" width="36.5703125" style="170" customWidth="1"/>
    <col min="13674" max="13676" width="36.85546875" style="170" customWidth="1"/>
    <col min="13677" max="13677" width="36.5703125" style="170" customWidth="1"/>
    <col min="13678" max="13685" width="36.85546875" style="170" customWidth="1"/>
    <col min="13686" max="13686" width="36.5703125" style="170" customWidth="1"/>
    <col min="13687" max="13824" width="36.85546875" style="170"/>
    <col min="13825" max="13825" width="18.5703125" style="170" customWidth="1"/>
    <col min="13826" max="13834" width="31.42578125" style="170" customWidth="1"/>
    <col min="13835" max="13851" width="36.85546875" style="170" customWidth="1"/>
    <col min="13852" max="13852" width="37" style="170" customWidth="1"/>
    <col min="13853" max="13868" width="36.85546875" style="170" customWidth="1"/>
    <col min="13869" max="13869" width="37.140625" style="170" customWidth="1"/>
    <col min="13870" max="13871" width="36.85546875" style="170" customWidth="1"/>
    <col min="13872" max="13872" width="36.5703125" style="170" customWidth="1"/>
    <col min="13873" max="13874" width="36.85546875" style="170" customWidth="1"/>
    <col min="13875" max="13875" width="36.5703125" style="170" customWidth="1"/>
    <col min="13876" max="13876" width="37" style="170" customWidth="1"/>
    <col min="13877" max="13895" width="36.85546875" style="170" customWidth="1"/>
    <col min="13896" max="13896" width="37" style="170" customWidth="1"/>
    <col min="13897" max="13914" width="36.85546875" style="170" customWidth="1"/>
    <col min="13915" max="13915" width="36.5703125" style="170" customWidth="1"/>
    <col min="13916" max="13928" width="36.85546875" style="170" customWidth="1"/>
    <col min="13929" max="13929" width="36.5703125" style="170" customWidth="1"/>
    <col min="13930" max="13932" width="36.85546875" style="170" customWidth="1"/>
    <col min="13933" max="13933" width="36.5703125" style="170" customWidth="1"/>
    <col min="13934" max="13941" width="36.85546875" style="170" customWidth="1"/>
    <col min="13942" max="13942" width="36.5703125" style="170" customWidth="1"/>
    <col min="13943" max="14080" width="36.85546875" style="170"/>
    <col min="14081" max="14081" width="18.5703125" style="170" customWidth="1"/>
    <col min="14082" max="14090" width="31.42578125" style="170" customWidth="1"/>
    <col min="14091" max="14107" width="36.85546875" style="170" customWidth="1"/>
    <col min="14108" max="14108" width="37" style="170" customWidth="1"/>
    <col min="14109" max="14124" width="36.85546875" style="170" customWidth="1"/>
    <col min="14125" max="14125" width="37.140625" style="170" customWidth="1"/>
    <col min="14126" max="14127" width="36.85546875" style="170" customWidth="1"/>
    <col min="14128" max="14128" width="36.5703125" style="170" customWidth="1"/>
    <col min="14129" max="14130" width="36.85546875" style="170" customWidth="1"/>
    <col min="14131" max="14131" width="36.5703125" style="170" customWidth="1"/>
    <col min="14132" max="14132" width="37" style="170" customWidth="1"/>
    <col min="14133" max="14151" width="36.85546875" style="170" customWidth="1"/>
    <col min="14152" max="14152" width="37" style="170" customWidth="1"/>
    <col min="14153" max="14170" width="36.85546875" style="170" customWidth="1"/>
    <col min="14171" max="14171" width="36.5703125" style="170" customWidth="1"/>
    <col min="14172" max="14184" width="36.85546875" style="170" customWidth="1"/>
    <col min="14185" max="14185" width="36.5703125" style="170" customWidth="1"/>
    <col min="14186" max="14188" width="36.85546875" style="170" customWidth="1"/>
    <col min="14189" max="14189" width="36.5703125" style="170" customWidth="1"/>
    <col min="14190" max="14197" width="36.85546875" style="170" customWidth="1"/>
    <col min="14198" max="14198" width="36.5703125" style="170" customWidth="1"/>
    <col min="14199" max="14336" width="36.85546875" style="170"/>
    <col min="14337" max="14337" width="18.5703125" style="170" customWidth="1"/>
    <col min="14338" max="14346" width="31.42578125" style="170" customWidth="1"/>
    <col min="14347" max="14363" width="36.85546875" style="170" customWidth="1"/>
    <col min="14364" max="14364" width="37" style="170" customWidth="1"/>
    <col min="14365" max="14380" width="36.85546875" style="170" customWidth="1"/>
    <col min="14381" max="14381" width="37.140625" style="170" customWidth="1"/>
    <col min="14382" max="14383" width="36.85546875" style="170" customWidth="1"/>
    <col min="14384" max="14384" width="36.5703125" style="170" customWidth="1"/>
    <col min="14385" max="14386" width="36.85546875" style="170" customWidth="1"/>
    <col min="14387" max="14387" width="36.5703125" style="170" customWidth="1"/>
    <col min="14388" max="14388" width="37" style="170" customWidth="1"/>
    <col min="14389" max="14407" width="36.85546875" style="170" customWidth="1"/>
    <col min="14408" max="14408" width="37" style="170" customWidth="1"/>
    <col min="14409" max="14426" width="36.85546875" style="170" customWidth="1"/>
    <col min="14427" max="14427" width="36.5703125" style="170" customWidth="1"/>
    <col min="14428" max="14440" width="36.85546875" style="170" customWidth="1"/>
    <col min="14441" max="14441" width="36.5703125" style="170" customWidth="1"/>
    <col min="14442" max="14444" width="36.85546875" style="170" customWidth="1"/>
    <col min="14445" max="14445" width="36.5703125" style="170" customWidth="1"/>
    <col min="14446" max="14453" width="36.85546875" style="170" customWidth="1"/>
    <col min="14454" max="14454" width="36.5703125" style="170" customWidth="1"/>
    <col min="14455" max="14592" width="36.85546875" style="170"/>
    <col min="14593" max="14593" width="18.5703125" style="170" customWidth="1"/>
    <col min="14594" max="14602" width="31.42578125" style="170" customWidth="1"/>
    <col min="14603" max="14619" width="36.85546875" style="170" customWidth="1"/>
    <col min="14620" max="14620" width="37" style="170" customWidth="1"/>
    <col min="14621" max="14636" width="36.85546875" style="170" customWidth="1"/>
    <col min="14637" max="14637" width="37.140625" style="170" customWidth="1"/>
    <col min="14638" max="14639" width="36.85546875" style="170" customWidth="1"/>
    <col min="14640" max="14640" width="36.5703125" style="170" customWidth="1"/>
    <col min="14641" max="14642" width="36.85546875" style="170" customWidth="1"/>
    <col min="14643" max="14643" width="36.5703125" style="170" customWidth="1"/>
    <col min="14644" max="14644" width="37" style="170" customWidth="1"/>
    <col min="14645" max="14663" width="36.85546875" style="170" customWidth="1"/>
    <col min="14664" max="14664" width="37" style="170" customWidth="1"/>
    <col min="14665" max="14682" width="36.85546875" style="170" customWidth="1"/>
    <col min="14683" max="14683" width="36.5703125" style="170" customWidth="1"/>
    <col min="14684" max="14696" width="36.85546875" style="170" customWidth="1"/>
    <col min="14697" max="14697" width="36.5703125" style="170" customWidth="1"/>
    <col min="14698" max="14700" width="36.85546875" style="170" customWidth="1"/>
    <col min="14701" max="14701" width="36.5703125" style="170" customWidth="1"/>
    <col min="14702" max="14709" width="36.85546875" style="170" customWidth="1"/>
    <col min="14710" max="14710" width="36.5703125" style="170" customWidth="1"/>
    <col min="14711" max="14848" width="36.85546875" style="170"/>
    <col min="14849" max="14849" width="18.5703125" style="170" customWidth="1"/>
    <col min="14850" max="14858" width="31.42578125" style="170" customWidth="1"/>
    <col min="14859" max="14875" width="36.85546875" style="170" customWidth="1"/>
    <col min="14876" max="14876" width="37" style="170" customWidth="1"/>
    <col min="14877" max="14892" width="36.85546875" style="170" customWidth="1"/>
    <col min="14893" max="14893" width="37.140625" style="170" customWidth="1"/>
    <col min="14894" max="14895" width="36.85546875" style="170" customWidth="1"/>
    <col min="14896" max="14896" width="36.5703125" style="170" customWidth="1"/>
    <col min="14897" max="14898" width="36.85546875" style="170" customWidth="1"/>
    <col min="14899" max="14899" width="36.5703125" style="170" customWidth="1"/>
    <col min="14900" max="14900" width="37" style="170" customWidth="1"/>
    <col min="14901" max="14919" width="36.85546875" style="170" customWidth="1"/>
    <col min="14920" max="14920" width="37" style="170" customWidth="1"/>
    <col min="14921" max="14938" width="36.85546875" style="170" customWidth="1"/>
    <col min="14939" max="14939" width="36.5703125" style="170" customWidth="1"/>
    <col min="14940" max="14952" width="36.85546875" style="170" customWidth="1"/>
    <col min="14953" max="14953" width="36.5703125" style="170" customWidth="1"/>
    <col min="14954" max="14956" width="36.85546875" style="170" customWidth="1"/>
    <col min="14957" max="14957" width="36.5703125" style="170" customWidth="1"/>
    <col min="14958" max="14965" width="36.85546875" style="170" customWidth="1"/>
    <col min="14966" max="14966" width="36.5703125" style="170" customWidth="1"/>
    <col min="14967" max="15104" width="36.85546875" style="170"/>
    <col min="15105" max="15105" width="18.5703125" style="170" customWidth="1"/>
    <col min="15106" max="15114" width="31.42578125" style="170" customWidth="1"/>
    <col min="15115" max="15131" width="36.85546875" style="170" customWidth="1"/>
    <col min="15132" max="15132" width="37" style="170" customWidth="1"/>
    <col min="15133" max="15148" width="36.85546875" style="170" customWidth="1"/>
    <col min="15149" max="15149" width="37.140625" style="170" customWidth="1"/>
    <col min="15150" max="15151" width="36.85546875" style="170" customWidth="1"/>
    <col min="15152" max="15152" width="36.5703125" style="170" customWidth="1"/>
    <col min="15153" max="15154" width="36.85546875" style="170" customWidth="1"/>
    <col min="15155" max="15155" width="36.5703125" style="170" customWidth="1"/>
    <col min="15156" max="15156" width="37" style="170" customWidth="1"/>
    <col min="15157" max="15175" width="36.85546875" style="170" customWidth="1"/>
    <col min="15176" max="15176" width="37" style="170" customWidth="1"/>
    <col min="15177" max="15194" width="36.85546875" style="170" customWidth="1"/>
    <col min="15195" max="15195" width="36.5703125" style="170" customWidth="1"/>
    <col min="15196" max="15208" width="36.85546875" style="170" customWidth="1"/>
    <col min="15209" max="15209" width="36.5703125" style="170" customWidth="1"/>
    <col min="15210" max="15212" width="36.85546875" style="170" customWidth="1"/>
    <col min="15213" max="15213" width="36.5703125" style="170" customWidth="1"/>
    <col min="15214" max="15221" width="36.85546875" style="170" customWidth="1"/>
    <col min="15222" max="15222" width="36.5703125" style="170" customWidth="1"/>
    <col min="15223" max="15360" width="36.85546875" style="170"/>
    <col min="15361" max="15361" width="18.5703125" style="170" customWidth="1"/>
    <col min="15362" max="15370" width="31.42578125" style="170" customWidth="1"/>
    <col min="15371" max="15387" width="36.85546875" style="170" customWidth="1"/>
    <col min="15388" max="15388" width="37" style="170" customWidth="1"/>
    <col min="15389" max="15404" width="36.85546875" style="170" customWidth="1"/>
    <col min="15405" max="15405" width="37.140625" style="170" customWidth="1"/>
    <col min="15406" max="15407" width="36.85546875" style="170" customWidth="1"/>
    <col min="15408" max="15408" width="36.5703125" style="170" customWidth="1"/>
    <col min="15409" max="15410" width="36.85546875" style="170" customWidth="1"/>
    <col min="15411" max="15411" width="36.5703125" style="170" customWidth="1"/>
    <col min="15412" max="15412" width="37" style="170" customWidth="1"/>
    <col min="15413" max="15431" width="36.85546875" style="170" customWidth="1"/>
    <col min="15432" max="15432" width="37" style="170" customWidth="1"/>
    <col min="15433" max="15450" width="36.85546875" style="170" customWidth="1"/>
    <col min="15451" max="15451" width="36.5703125" style="170" customWidth="1"/>
    <col min="15452" max="15464" width="36.85546875" style="170" customWidth="1"/>
    <col min="15465" max="15465" width="36.5703125" style="170" customWidth="1"/>
    <col min="15466" max="15468" width="36.85546875" style="170" customWidth="1"/>
    <col min="15469" max="15469" width="36.5703125" style="170" customWidth="1"/>
    <col min="15470" max="15477" width="36.85546875" style="170" customWidth="1"/>
    <col min="15478" max="15478" width="36.5703125" style="170" customWidth="1"/>
    <col min="15479" max="15616" width="36.85546875" style="170"/>
    <col min="15617" max="15617" width="18.5703125" style="170" customWidth="1"/>
    <col min="15618" max="15626" width="31.42578125" style="170" customWidth="1"/>
    <col min="15627" max="15643" width="36.85546875" style="170" customWidth="1"/>
    <col min="15644" max="15644" width="37" style="170" customWidth="1"/>
    <col min="15645" max="15660" width="36.85546875" style="170" customWidth="1"/>
    <col min="15661" max="15661" width="37.140625" style="170" customWidth="1"/>
    <col min="15662" max="15663" width="36.85546875" style="170" customWidth="1"/>
    <col min="15664" max="15664" width="36.5703125" style="170" customWidth="1"/>
    <col min="15665" max="15666" width="36.85546875" style="170" customWidth="1"/>
    <col min="15667" max="15667" width="36.5703125" style="170" customWidth="1"/>
    <col min="15668" max="15668" width="37" style="170" customWidth="1"/>
    <col min="15669" max="15687" width="36.85546875" style="170" customWidth="1"/>
    <col min="15688" max="15688" width="37" style="170" customWidth="1"/>
    <col min="15689" max="15706" width="36.85546875" style="170" customWidth="1"/>
    <col min="15707" max="15707" width="36.5703125" style="170" customWidth="1"/>
    <col min="15708" max="15720" width="36.85546875" style="170" customWidth="1"/>
    <col min="15721" max="15721" width="36.5703125" style="170" customWidth="1"/>
    <col min="15722" max="15724" width="36.85546875" style="170" customWidth="1"/>
    <col min="15725" max="15725" width="36.5703125" style="170" customWidth="1"/>
    <col min="15726" max="15733" width="36.85546875" style="170" customWidth="1"/>
    <col min="15734" max="15734" width="36.5703125" style="170" customWidth="1"/>
    <col min="15735" max="15872" width="36.85546875" style="170"/>
    <col min="15873" max="15873" width="18.5703125" style="170" customWidth="1"/>
    <col min="15874" max="15882" width="31.42578125" style="170" customWidth="1"/>
    <col min="15883" max="15899" width="36.85546875" style="170" customWidth="1"/>
    <col min="15900" max="15900" width="37" style="170" customWidth="1"/>
    <col min="15901" max="15916" width="36.85546875" style="170" customWidth="1"/>
    <col min="15917" max="15917" width="37.140625" style="170" customWidth="1"/>
    <col min="15918" max="15919" width="36.85546875" style="170" customWidth="1"/>
    <col min="15920" max="15920" width="36.5703125" style="170" customWidth="1"/>
    <col min="15921" max="15922" width="36.85546875" style="170" customWidth="1"/>
    <col min="15923" max="15923" width="36.5703125" style="170" customWidth="1"/>
    <col min="15924" max="15924" width="37" style="170" customWidth="1"/>
    <col min="15925" max="15943" width="36.85546875" style="170" customWidth="1"/>
    <col min="15944" max="15944" width="37" style="170" customWidth="1"/>
    <col min="15945" max="15962" width="36.85546875" style="170" customWidth="1"/>
    <col min="15963" max="15963" width="36.5703125" style="170" customWidth="1"/>
    <col min="15964" max="15976" width="36.85546875" style="170" customWidth="1"/>
    <col min="15977" max="15977" width="36.5703125" style="170" customWidth="1"/>
    <col min="15978" max="15980" width="36.85546875" style="170" customWidth="1"/>
    <col min="15981" max="15981" width="36.5703125" style="170" customWidth="1"/>
    <col min="15982" max="15989" width="36.85546875" style="170" customWidth="1"/>
    <col min="15990" max="15990" width="36.5703125" style="170" customWidth="1"/>
    <col min="15991" max="16128" width="36.85546875" style="170"/>
    <col min="16129" max="16129" width="18.5703125" style="170" customWidth="1"/>
    <col min="16130" max="16138" width="31.42578125" style="170" customWidth="1"/>
    <col min="16139" max="16155" width="36.85546875" style="170" customWidth="1"/>
    <col min="16156" max="16156" width="37" style="170" customWidth="1"/>
    <col min="16157" max="16172" width="36.85546875" style="170" customWidth="1"/>
    <col min="16173" max="16173" width="37.140625" style="170" customWidth="1"/>
    <col min="16174" max="16175" width="36.85546875" style="170" customWidth="1"/>
    <col min="16176" max="16176" width="36.5703125" style="170" customWidth="1"/>
    <col min="16177" max="16178" width="36.85546875" style="170" customWidth="1"/>
    <col min="16179" max="16179" width="36.5703125" style="170" customWidth="1"/>
    <col min="16180" max="16180" width="37" style="170" customWidth="1"/>
    <col min="16181" max="16199" width="36.85546875" style="170" customWidth="1"/>
    <col min="16200" max="16200" width="37" style="170" customWidth="1"/>
    <col min="16201" max="16218" width="36.85546875" style="170" customWidth="1"/>
    <col min="16219" max="16219" width="36.5703125" style="170" customWidth="1"/>
    <col min="16220" max="16232" width="36.85546875" style="170" customWidth="1"/>
    <col min="16233" max="16233" width="36.5703125" style="170" customWidth="1"/>
    <col min="16234" max="16236" width="36.85546875" style="170" customWidth="1"/>
    <col min="16237" max="16237" width="36.5703125" style="170" customWidth="1"/>
    <col min="16238" max="16245" width="36.85546875" style="170" customWidth="1"/>
    <col min="16246" max="16246" width="36.5703125" style="170" customWidth="1"/>
    <col min="16247" max="16384" width="36.85546875" style="170"/>
  </cols>
  <sheetData>
    <row r="1" spans="1:245" s="122" customFormat="1" ht="12.75" customHeight="1" x14ac:dyDescent="0.25">
      <c r="A1" s="118" t="s">
        <v>121</v>
      </c>
      <c r="B1" s="119"/>
      <c r="C1" s="119"/>
      <c r="D1" s="119"/>
      <c r="E1" s="119"/>
      <c r="F1" s="119"/>
      <c r="G1" s="120"/>
      <c r="H1" s="120"/>
      <c r="I1" s="120"/>
      <c r="J1" s="120"/>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245" s="126" customFormat="1" ht="12.75" customHeight="1" x14ac:dyDescent="0.25">
      <c r="A2" s="123" t="s">
        <v>122</v>
      </c>
      <c r="B2" s="124">
        <v>1</v>
      </c>
      <c r="C2" s="124">
        <v>2</v>
      </c>
      <c r="D2" s="124">
        <v>3</v>
      </c>
      <c r="E2" s="124">
        <v>4</v>
      </c>
      <c r="F2" s="124">
        <v>5</v>
      </c>
      <c r="G2" s="124"/>
      <c r="H2" s="124">
        <v>7</v>
      </c>
      <c r="I2" s="124">
        <v>8</v>
      </c>
      <c r="J2" s="124">
        <v>9</v>
      </c>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5"/>
      <c r="AK2" s="125" t="str">
        <f t="shared" ref="AK2:CV2" si="0">IF(AK3="","",AJ2+1)</f>
        <v/>
      </c>
      <c r="AL2" s="125" t="str">
        <f t="shared" si="0"/>
        <v/>
      </c>
      <c r="AM2" s="125" t="str">
        <f t="shared" si="0"/>
        <v/>
      </c>
      <c r="AN2" s="125" t="str">
        <f t="shared" si="0"/>
        <v/>
      </c>
      <c r="AO2" s="125" t="str">
        <f t="shared" si="0"/>
        <v/>
      </c>
      <c r="AP2" s="125" t="str">
        <f t="shared" si="0"/>
        <v/>
      </c>
      <c r="AQ2" s="125" t="str">
        <f t="shared" si="0"/>
        <v/>
      </c>
      <c r="AR2" s="125" t="str">
        <f t="shared" si="0"/>
        <v/>
      </c>
      <c r="AS2" s="125" t="str">
        <f t="shared" si="0"/>
        <v/>
      </c>
      <c r="AT2" s="125" t="str">
        <f t="shared" si="0"/>
        <v/>
      </c>
      <c r="AU2" s="125" t="str">
        <f t="shared" si="0"/>
        <v/>
      </c>
      <c r="AV2" s="125" t="str">
        <f t="shared" si="0"/>
        <v/>
      </c>
      <c r="AW2" s="125" t="str">
        <f t="shared" si="0"/>
        <v/>
      </c>
      <c r="AX2" s="125" t="str">
        <f t="shared" si="0"/>
        <v/>
      </c>
      <c r="AY2" s="125" t="str">
        <f t="shared" si="0"/>
        <v/>
      </c>
      <c r="AZ2" s="125" t="str">
        <f t="shared" si="0"/>
        <v/>
      </c>
      <c r="BA2" s="125" t="str">
        <f t="shared" si="0"/>
        <v/>
      </c>
      <c r="BB2" s="125" t="str">
        <f t="shared" si="0"/>
        <v/>
      </c>
      <c r="BC2" s="125" t="str">
        <f t="shared" si="0"/>
        <v/>
      </c>
      <c r="BD2" s="125" t="str">
        <f t="shared" si="0"/>
        <v/>
      </c>
      <c r="BE2" s="125" t="str">
        <f t="shared" si="0"/>
        <v/>
      </c>
      <c r="BF2" s="125" t="str">
        <f t="shared" si="0"/>
        <v/>
      </c>
      <c r="BG2" s="125" t="str">
        <f t="shared" si="0"/>
        <v/>
      </c>
      <c r="BH2" s="125" t="str">
        <f t="shared" si="0"/>
        <v/>
      </c>
      <c r="BI2" s="125" t="str">
        <f t="shared" si="0"/>
        <v/>
      </c>
      <c r="BJ2" s="125" t="str">
        <f t="shared" si="0"/>
        <v/>
      </c>
      <c r="BK2" s="125" t="str">
        <f t="shared" si="0"/>
        <v/>
      </c>
      <c r="BL2" s="125" t="str">
        <f t="shared" si="0"/>
        <v/>
      </c>
      <c r="BM2" s="125" t="str">
        <f t="shared" si="0"/>
        <v/>
      </c>
      <c r="BN2" s="125" t="str">
        <f t="shared" si="0"/>
        <v/>
      </c>
      <c r="BO2" s="125" t="str">
        <f t="shared" si="0"/>
        <v/>
      </c>
      <c r="BP2" s="125" t="str">
        <f t="shared" si="0"/>
        <v/>
      </c>
      <c r="BQ2" s="125" t="str">
        <f t="shared" si="0"/>
        <v/>
      </c>
      <c r="BR2" s="125" t="str">
        <f t="shared" si="0"/>
        <v/>
      </c>
      <c r="BS2" s="125" t="str">
        <f t="shared" si="0"/>
        <v/>
      </c>
      <c r="BT2" s="125" t="str">
        <f t="shared" si="0"/>
        <v/>
      </c>
      <c r="BU2" s="125" t="str">
        <f t="shared" si="0"/>
        <v/>
      </c>
      <c r="BV2" s="125" t="str">
        <f t="shared" si="0"/>
        <v/>
      </c>
      <c r="BW2" s="125" t="str">
        <f t="shared" si="0"/>
        <v/>
      </c>
      <c r="BX2" s="125" t="str">
        <f t="shared" si="0"/>
        <v/>
      </c>
      <c r="BY2" s="125" t="str">
        <f t="shared" si="0"/>
        <v/>
      </c>
      <c r="BZ2" s="125" t="str">
        <f t="shared" si="0"/>
        <v/>
      </c>
      <c r="CA2" s="125" t="str">
        <f t="shared" si="0"/>
        <v/>
      </c>
      <c r="CB2" s="125" t="str">
        <f t="shared" si="0"/>
        <v/>
      </c>
      <c r="CC2" s="125" t="str">
        <f t="shared" si="0"/>
        <v/>
      </c>
      <c r="CD2" s="125" t="str">
        <f t="shared" si="0"/>
        <v/>
      </c>
      <c r="CE2" s="125" t="str">
        <f t="shared" si="0"/>
        <v/>
      </c>
      <c r="CF2" s="125" t="str">
        <f t="shared" si="0"/>
        <v/>
      </c>
      <c r="CG2" s="125" t="str">
        <f t="shared" si="0"/>
        <v/>
      </c>
      <c r="CH2" s="125" t="str">
        <f t="shared" si="0"/>
        <v/>
      </c>
      <c r="CI2" s="125" t="str">
        <f t="shared" si="0"/>
        <v/>
      </c>
      <c r="CJ2" s="125" t="str">
        <f t="shared" si="0"/>
        <v/>
      </c>
      <c r="CK2" s="125" t="str">
        <f t="shared" si="0"/>
        <v/>
      </c>
      <c r="CL2" s="125" t="str">
        <f t="shared" si="0"/>
        <v/>
      </c>
      <c r="CM2" s="125" t="str">
        <f t="shared" si="0"/>
        <v/>
      </c>
      <c r="CN2" s="125" t="str">
        <f t="shared" si="0"/>
        <v/>
      </c>
      <c r="CO2" s="125" t="str">
        <f t="shared" si="0"/>
        <v/>
      </c>
      <c r="CP2" s="125" t="str">
        <f t="shared" si="0"/>
        <v/>
      </c>
      <c r="CQ2" s="125" t="str">
        <f t="shared" si="0"/>
        <v/>
      </c>
      <c r="CR2" s="125" t="str">
        <f t="shared" si="0"/>
        <v/>
      </c>
      <c r="CS2" s="125" t="str">
        <f t="shared" si="0"/>
        <v/>
      </c>
      <c r="CT2" s="125" t="str">
        <f t="shared" si="0"/>
        <v/>
      </c>
      <c r="CU2" s="125" t="str">
        <f t="shared" si="0"/>
        <v/>
      </c>
      <c r="CV2" s="125" t="str">
        <f t="shared" si="0"/>
        <v/>
      </c>
      <c r="CW2" s="125" t="str">
        <f t="shared" ref="CW2:FH2" si="1">IF(CW3="","",CV2+1)</f>
        <v/>
      </c>
      <c r="CX2" s="125" t="str">
        <f t="shared" si="1"/>
        <v/>
      </c>
      <c r="CY2" s="125" t="str">
        <f t="shared" si="1"/>
        <v/>
      </c>
      <c r="CZ2" s="125" t="str">
        <f t="shared" si="1"/>
        <v/>
      </c>
      <c r="DA2" s="125" t="str">
        <f t="shared" si="1"/>
        <v/>
      </c>
      <c r="DB2" s="125" t="str">
        <f t="shared" si="1"/>
        <v/>
      </c>
      <c r="DC2" s="125" t="str">
        <f t="shared" si="1"/>
        <v/>
      </c>
      <c r="DD2" s="125" t="str">
        <f t="shared" si="1"/>
        <v/>
      </c>
      <c r="DE2" s="125" t="str">
        <f t="shared" si="1"/>
        <v/>
      </c>
      <c r="DF2" s="125" t="str">
        <f t="shared" si="1"/>
        <v/>
      </c>
      <c r="DG2" s="125" t="str">
        <f t="shared" si="1"/>
        <v/>
      </c>
      <c r="DH2" s="125" t="str">
        <f t="shared" si="1"/>
        <v/>
      </c>
      <c r="DI2" s="125" t="str">
        <f t="shared" si="1"/>
        <v/>
      </c>
      <c r="DJ2" s="125" t="str">
        <f t="shared" si="1"/>
        <v/>
      </c>
      <c r="DK2" s="125" t="str">
        <f t="shared" si="1"/>
        <v/>
      </c>
      <c r="DL2" s="125" t="str">
        <f t="shared" si="1"/>
        <v/>
      </c>
      <c r="DM2" s="125" t="str">
        <f t="shared" si="1"/>
        <v/>
      </c>
      <c r="DN2" s="125" t="str">
        <f t="shared" si="1"/>
        <v/>
      </c>
      <c r="DO2" s="125" t="str">
        <f t="shared" si="1"/>
        <v/>
      </c>
      <c r="DP2" s="125" t="str">
        <f t="shared" si="1"/>
        <v/>
      </c>
      <c r="DQ2" s="125" t="str">
        <f t="shared" si="1"/>
        <v/>
      </c>
      <c r="DR2" s="125" t="str">
        <f t="shared" si="1"/>
        <v/>
      </c>
      <c r="DS2" s="125" t="str">
        <f t="shared" si="1"/>
        <v/>
      </c>
      <c r="DT2" s="125" t="str">
        <f t="shared" si="1"/>
        <v/>
      </c>
      <c r="DU2" s="125" t="str">
        <f t="shared" si="1"/>
        <v/>
      </c>
      <c r="DV2" s="125" t="str">
        <f t="shared" si="1"/>
        <v/>
      </c>
      <c r="DW2" s="125" t="str">
        <f t="shared" si="1"/>
        <v/>
      </c>
      <c r="DX2" s="125" t="str">
        <f t="shared" si="1"/>
        <v/>
      </c>
      <c r="DY2" s="125" t="str">
        <f t="shared" si="1"/>
        <v/>
      </c>
      <c r="DZ2" s="125" t="str">
        <f t="shared" si="1"/>
        <v/>
      </c>
      <c r="EA2" s="125" t="str">
        <f t="shared" si="1"/>
        <v/>
      </c>
      <c r="EB2" s="125" t="str">
        <f t="shared" si="1"/>
        <v/>
      </c>
      <c r="EC2" s="125" t="str">
        <f t="shared" si="1"/>
        <v/>
      </c>
      <c r="ED2" s="125" t="str">
        <f t="shared" si="1"/>
        <v/>
      </c>
      <c r="EE2" s="125" t="str">
        <f t="shared" si="1"/>
        <v/>
      </c>
      <c r="EF2" s="125" t="str">
        <f t="shared" si="1"/>
        <v/>
      </c>
      <c r="EG2" s="125" t="str">
        <f t="shared" si="1"/>
        <v/>
      </c>
      <c r="EH2" s="125" t="str">
        <f t="shared" si="1"/>
        <v/>
      </c>
      <c r="EI2" s="125" t="str">
        <f t="shared" si="1"/>
        <v/>
      </c>
      <c r="EJ2" s="125" t="str">
        <f t="shared" si="1"/>
        <v/>
      </c>
      <c r="EK2" s="125" t="str">
        <f t="shared" si="1"/>
        <v/>
      </c>
      <c r="EL2" s="125" t="str">
        <f t="shared" si="1"/>
        <v/>
      </c>
      <c r="EM2" s="125" t="str">
        <f t="shared" si="1"/>
        <v/>
      </c>
      <c r="EN2" s="125" t="str">
        <f t="shared" si="1"/>
        <v/>
      </c>
      <c r="EO2" s="125" t="str">
        <f t="shared" si="1"/>
        <v/>
      </c>
      <c r="EP2" s="125" t="str">
        <f t="shared" si="1"/>
        <v/>
      </c>
      <c r="EQ2" s="125" t="str">
        <f t="shared" si="1"/>
        <v/>
      </c>
      <c r="ER2" s="125" t="str">
        <f t="shared" si="1"/>
        <v/>
      </c>
      <c r="ES2" s="125" t="str">
        <f t="shared" si="1"/>
        <v/>
      </c>
      <c r="ET2" s="125" t="str">
        <f t="shared" si="1"/>
        <v/>
      </c>
      <c r="EU2" s="125" t="str">
        <f t="shared" si="1"/>
        <v/>
      </c>
      <c r="EV2" s="125" t="str">
        <f t="shared" si="1"/>
        <v/>
      </c>
      <c r="EW2" s="125" t="str">
        <f t="shared" si="1"/>
        <v/>
      </c>
      <c r="EX2" s="125" t="str">
        <f t="shared" si="1"/>
        <v/>
      </c>
      <c r="EY2" s="125" t="str">
        <f t="shared" si="1"/>
        <v/>
      </c>
      <c r="EZ2" s="125" t="str">
        <f t="shared" si="1"/>
        <v/>
      </c>
      <c r="FA2" s="125" t="str">
        <f t="shared" si="1"/>
        <v/>
      </c>
      <c r="FB2" s="125" t="str">
        <f t="shared" si="1"/>
        <v/>
      </c>
      <c r="FC2" s="125" t="str">
        <f t="shared" si="1"/>
        <v/>
      </c>
      <c r="FD2" s="125" t="str">
        <f t="shared" si="1"/>
        <v/>
      </c>
      <c r="FE2" s="125" t="str">
        <f t="shared" si="1"/>
        <v/>
      </c>
      <c r="FF2" s="125" t="str">
        <f t="shared" si="1"/>
        <v/>
      </c>
      <c r="FG2" s="125" t="str">
        <f t="shared" si="1"/>
        <v/>
      </c>
      <c r="FH2" s="125" t="str">
        <f t="shared" si="1"/>
        <v/>
      </c>
      <c r="FI2" s="125" t="str">
        <f t="shared" ref="FI2:HT2" si="2">IF(FI3="","",FH2+1)</f>
        <v/>
      </c>
      <c r="FJ2" s="125" t="str">
        <f t="shared" si="2"/>
        <v/>
      </c>
      <c r="FK2" s="125" t="str">
        <f t="shared" si="2"/>
        <v/>
      </c>
      <c r="FL2" s="125" t="str">
        <f t="shared" si="2"/>
        <v/>
      </c>
      <c r="FM2" s="125" t="str">
        <f t="shared" si="2"/>
        <v/>
      </c>
      <c r="FN2" s="125" t="str">
        <f t="shared" si="2"/>
        <v/>
      </c>
      <c r="FO2" s="125" t="str">
        <f t="shared" si="2"/>
        <v/>
      </c>
      <c r="FP2" s="125" t="str">
        <f t="shared" si="2"/>
        <v/>
      </c>
      <c r="FQ2" s="125" t="str">
        <f t="shared" si="2"/>
        <v/>
      </c>
      <c r="FR2" s="125" t="str">
        <f t="shared" si="2"/>
        <v/>
      </c>
      <c r="FS2" s="125" t="str">
        <f t="shared" si="2"/>
        <v/>
      </c>
      <c r="FT2" s="125" t="str">
        <f t="shared" si="2"/>
        <v/>
      </c>
      <c r="FU2" s="125" t="str">
        <f t="shared" si="2"/>
        <v/>
      </c>
      <c r="FV2" s="125" t="str">
        <f t="shared" si="2"/>
        <v/>
      </c>
      <c r="FW2" s="125" t="str">
        <f t="shared" si="2"/>
        <v/>
      </c>
      <c r="FX2" s="125" t="str">
        <f t="shared" si="2"/>
        <v/>
      </c>
      <c r="FY2" s="125" t="str">
        <f t="shared" si="2"/>
        <v/>
      </c>
      <c r="FZ2" s="125" t="str">
        <f t="shared" si="2"/>
        <v/>
      </c>
      <c r="GA2" s="125" t="str">
        <f t="shared" si="2"/>
        <v/>
      </c>
      <c r="GB2" s="125" t="str">
        <f t="shared" si="2"/>
        <v/>
      </c>
      <c r="GC2" s="125" t="str">
        <f t="shared" si="2"/>
        <v/>
      </c>
      <c r="GD2" s="125" t="str">
        <f t="shared" si="2"/>
        <v/>
      </c>
      <c r="GE2" s="125" t="str">
        <f t="shared" si="2"/>
        <v/>
      </c>
      <c r="GF2" s="125" t="str">
        <f t="shared" si="2"/>
        <v/>
      </c>
      <c r="GG2" s="125" t="str">
        <f t="shared" si="2"/>
        <v/>
      </c>
      <c r="GH2" s="125" t="str">
        <f t="shared" si="2"/>
        <v/>
      </c>
      <c r="GI2" s="125" t="str">
        <f t="shared" si="2"/>
        <v/>
      </c>
      <c r="GJ2" s="125" t="str">
        <f t="shared" si="2"/>
        <v/>
      </c>
      <c r="GK2" s="125" t="str">
        <f t="shared" si="2"/>
        <v/>
      </c>
      <c r="GL2" s="125" t="str">
        <f t="shared" si="2"/>
        <v/>
      </c>
      <c r="GM2" s="125" t="str">
        <f t="shared" si="2"/>
        <v/>
      </c>
      <c r="GN2" s="125" t="str">
        <f t="shared" si="2"/>
        <v/>
      </c>
      <c r="GO2" s="125" t="str">
        <f t="shared" si="2"/>
        <v/>
      </c>
      <c r="GP2" s="125" t="str">
        <f t="shared" si="2"/>
        <v/>
      </c>
      <c r="GQ2" s="125" t="str">
        <f t="shared" si="2"/>
        <v/>
      </c>
      <c r="GR2" s="125" t="str">
        <f t="shared" si="2"/>
        <v/>
      </c>
      <c r="GS2" s="125" t="str">
        <f t="shared" si="2"/>
        <v/>
      </c>
      <c r="GT2" s="125" t="str">
        <f t="shared" si="2"/>
        <v/>
      </c>
      <c r="GU2" s="125" t="str">
        <f t="shared" si="2"/>
        <v/>
      </c>
      <c r="GV2" s="125" t="str">
        <f t="shared" si="2"/>
        <v/>
      </c>
      <c r="GW2" s="125" t="str">
        <f t="shared" si="2"/>
        <v/>
      </c>
      <c r="GX2" s="125" t="str">
        <f t="shared" si="2"/>
        <v/>
      </c>
      <c r="GY2" s="125" t="str">
        <f t="shared" si="2"/>
        <v/>
      </c>
      <c r="GZ2" s="125" t="str">
        <f t="shared" si="2"/>
        <v/>
      </c>
      <c r="HA2" s="125" t="str">
        <f t="shared" si="2"/>
        <v/>
      </c>
      <c r="HB2" s="125" t="str">
        <f t="shared" si="2"/>
        <v/>
      </c>
      <c r="HC2" s="125" t="str">
        <f t="shared" si="2"/>
        <v/>
      </c>
      <c r="HD2" s="125" t="str">
        <f t="shared" si="2"/>
        <v/>
      </c>
      <c r="HE2" s="125" t="str">
        <f t="shared" si="2"/>
        <v/>
      </c>
      <c r="HF2" s="125" t="str">
        <f t="shared" si="2"/>
        <v/>
      </c>
      <c r="HG2" s="125" t="str">
        <f t="shared" si="2"/>
        <v/>
      </c>
      <c r="HH2" s="125" t="str">
        <f t="shared" si="2"/>
        <v/>
      </c>
      <c r="HI2" s="125" t="str">
        <f t="shared" si="2"/>
        <v/>
      </c>
      <c r="HJ2" s="125" t="str">
        <f t="shared" si="2"/>
        <v/>
      </c>
      <c r="HK2" s="125" t="str">
        <f t="shared" si="2"/>
        <v/>
      </c>
      <c r="HL2" s="125" t="str">
        <f t="shared" si="2"/>
        <v/>
      </c>
      <c r="HM2" s="125" t="str">
        <f t="shared" si="2"/>
        <v/>
      </c>
      <c r="HN2" s="125" t="str">
        <f t="shared" si="2"/>
        <v/>
      </c>
      <c r="HO2" s="125" t="str">
        <f t="shared" si="2"/>
        <v/>
      </c>
      <c r="HP2" s="125" t="str">
        <f t="shared" si="2"/>
        <v/>
      </c>
      <c r="HQ2" s="125" t="str">
        <f t="shared" si="2"/>
        <v/>
      </c>
      <c r="HR2" s="125" t="str">
        <f t="shared" si="2"/>
        <v/>
      </c>
      <c r="HS2" s="125" t="str">
        <f t="shared" si="2"/>
        <v/>
      </c>
      <c r="HT2" s="125" t="str">
        <f t="shared" si="2"/>
        <v/>
      </c>
      <c r="HU2" s="125" t="str">
        <f t="shared" ref="HU2:IK2" si="3">IF(HU3="","",HT2+1)</f>
        <v/>
      </c>
      <c r="HV2" s="125" t="str">
        <f t="shared" si="3"/>
        <v/>
      </c>
      <c r="HW2" s="125" t="str">
        <f t="shared" si="3"/>
        <v/>
      </c>
      <c r="HX2" s="125" t="str">
        <f t="shared" si="3"/>
        <v/>
      </c>
      <c r="HY2" s="125" t="str">
        <f t="shared" si="3"/>
        <v/>
      </c>
      <c r="HZ2" s="125" t="str">
        <f t="shared" si="3"/>
        <v/>
      </c>
      <c r="IA2" s="125" t="str">
        <f t="shared" si="3"/>
        <v/>
      </c>
      <c r="IB2" s="125" t="str">
        <f t="shared" si="3"/>
        <v/>
      </c>
      <c r="IC2" s="125" t="str">
        <f t="shared" si="3"/>
        <v/>
      </c>
      <c r="ID2" s="125" t="str">
        <f t="shared" si="3"/>
        <v/>
      </c>
      <c r="IE2" s="125" t="str">
        <f t="shared" si="3"/>
        <v/>
      </c>
      <c r="IF2" s="125" t="str">
        <f t="shared" si="3"/>
        <v/>
      </c>
      <c r="IG2" s="125" t="str">
        <f t="shared" si="3"/>
        <v/>
      </c>
      <c r="IH2" s="125" t="str">
        <f t="shared" si="3"/>
        <v/>
      </c>
      <c r="II2" s="125" t="str">
        <f t="shared" si="3"/>
        <v/>
      </c>
      <c r="IJ2" s="125" t="str">
        <f t="shared" si="3"/>
        <v/>
      </c>
      <c r="IK2" s="125" t="str">
        <f t="shared" si="3"/>
        <v/>
      </c>
    </row>
    <row r="3" spans="1:245" s="130" customFormat="1" x14ac:dyDescent="0.2">
      <c r="A3" s="127" t="s">
        <v>123</v>
      </c>
      <c r="B3" s="128" t="s">
        <v>153</v>
      </c>
      <c r="C3" s="128" t="s">
        <v>153</v>
      </c>
      <c r="D3" s="128" t="s">
        <v>153</v>
      </c>
      <c r="E3" s="128" t="s">
        <v>153</v>
      </c>
      <c r="F3" s="128"/>
      <c r="G3" s="128"/>
      <c r="H3" s="128"/>
      <c r="I3" s="128"/>
      <c r="J3" s="128"/>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row>
    <row r="4" spans="1:245" s="130" customFormat="1" ht="51" x14ac:dyDescent="0.2">
      <c r="A4" s="127" t="s">
        <v>124</v>
      </c>
      <c r="B4" s="130" t="s">
        <v>347</v>
      </c>
      <c r="C4" s="130" t="s">
        <v>324</v>
      </c>
      <c r="D4" s="130" t="s">
        <v>240</v>
      </c>
      <c r="E4" s="130" t="s">
        <v>490</v>
      </c>
      <c r="G4" s="128"/>
      <c r="I4" s="128"/>
      <c r="J4" s="128"/>
      <c r="K4" s="129"/>
      <c r="L4" s="128"/>
      <c r="M4" s="128"/>
      <c r="N4" s="128"/>
      <c r="O4" s="129"/>
      <c r="P4" s="129"/>
      <c r="Q4" s="128"/>
      <c r="R4" s="128"/>
      <c r="S4" s="128"/>
      <c r="T4" s="128"/>
      <c r="U4" s="128"/>
      <c r="V4" s="128"/>
      <c r="W4" s="128"/>
      <c r="X4" s="132"/>
      <c r="Y4" s="128"/>
      <c r="Z4" s="129"/>
      <c r="AA4" s="128"/>
      <c r="AB4" s="128"/>
      <c r="AC4" s="129"/>
      <c r="AD4" s="129"/>
      <c r="AE4" s="129"/>
      <c r="AF4" s="129"/>
      <c r="AG4" s="129"/>
      <c r="AH4" s="129"/>
      <c r="AI4" s="129"/>
      <c r="AQ4" s="133"/>
      <c r="AR4" s="133"/>
      <c r="AS4" s="133"/>
      <c r="AT4" s="133"/>
      <c r="AU4" s="133"/>
      <c r="AV4" s="133"/>
      <c r="AW4" s="133"/>
      <c r="GA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row>
    <row r="5" spans="1:245" s="137" customFormat="1" x14ac:dyDescent="0.2">
      <c r="A5" s="134" t="s">
        <v>125</v>
      </c>
      <c r="B5" s="137" t="s">
        <v>348</v>
      </c>
      <c r="C5" s="137" t="s">
        <v>325</v>
      </c>
      <c r="D5" s="137" t="s">
        <v>239</v>
      </c>
      <c r="G5" s="130"/>
      <c r="I5" s="135"/>
      <c r="J5" s="135"/>
      <c r="K5" s="135"/>
      <c r="L5" s="136"/>
      <c r="M5" s="135"/>
      <c r="N5" s="136"/>
      <c r="O5" s="136"/>
      <c r="P5" s="136"/>
      <c r="Q5" s="135"/>
      <c r="R5" s="136"/>
      <c r="S5" s="135"/>
      <c r="T5" s="136"/>
      <c r="U5" s="135"/>
      <c r="V5" s="136"/>
      <c r="W5" s="135"/>
      <c r="X5" s="136"/>
      <c r="Y5" s="135"/>
      <c r="Z5" s="135"/>
      <c r="AA5" s="136"/>
      <c r="AB5" s="136"/>
      <c r="AC5" s="136"/>
      <c r="AD5" s="136"/>
      <c r="AE5" s="136"/>
      <c r="AF5" s="136"/>
      <c r="AG5" s="136"/>
      <c r="AH5" s="136"/>
      <c r="AI5" s="136"/>
      <c r="DO5" s="138"/>
      <c r="GC5" s="139"/>
      <c r="GD5" s="139"/>
      <c r="GE5" s="139"/>
      <c r="GF5" s="139"/>
      <c r="GG5" s="139"/>
      <c r="GH5" s="139"/>
      <c r="GI5" s="139"/>
      <c r="GJ5" s="139"/>
      <c r="GK5" s="139"/>
      <c r="GL5" s="139"/>
      <c r="GM5" s="139"/>
      <c r="GN5" s="139"/>
      <c r="GO5" s="139"/>
      <c r="GP5" s="139"/>
      <c r="GQ5" s="139"/>
      <c r="GR5" s="139"/>
      <c r="GS5" s="139"/>
      <c r="GT5" s="139"/>
      <c r="GU5" s="139"/>
      <c r="GV5" s="139"/>
      <c r="GW5" s="140"/>
      <c r="GX5" s="139"/>
      <c r="GY5" s="139"/>
      <c r="GZ5" s="139"/>
      <c r="HA5" s="139"/>
      <c r="HB5" s="139"/>
    </row>
    <row r="6" spans="1:245" s="137" customFormat="1" x14ac:dyDescent="0.2">
      <c r="A6" s="134" t="s">
        <v>126</v>
      </c>
      <c r="C6" s="137" t="s">
        <v>326</v>
      </c>
      <c r="I6" s="135"/>
      <c r="J6" s="135"/>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row>
    <row r="7" spans="1:245" s="143" customFormat="1" x14ac:dyDescent="0.2">
      <c r="A7" s="127" t="s">
        <v>127</v>
      </c>
      <c r="B7" s="143" t="s">
        <v>349</v>
      </c>
      <c r="C7" s="143" t="s">
        <v>327</v>
      </c>
      <c r="D7" s="143" t="s">
        <v>231</v>
      </c>
      <c r="E7" s="143" t="s">
        <v>390</v>
      </c>
      <c r="G7" s="137"/>
      <c r="I7" s="141"/>
      <c r="J7" s="141"/>
      <c r="K7" s="142"/>
      <c r="L7" s="142"/>
      <c r="M7" s="141"/>
      <c r="N7" s="142"/>
      <c r="O7" s="142"/>
      <c r="P7" s="142"/>
      <c r="Q7" s="141"/>
      <c r="R7" s="142"/>
      <c r="S7" s="141"/>
      <c r="T7" s="142"/>
      <c r="U7" s="142"/>
      <c r="V7" s="142"/>
      <c r="W7" s="142"/>
      <c r="X7" s="142"/>
      <c r="Y7" s="142"/>
      <c r="Z7" s="142"/>
      <c r="AA7" s="142"/>
      <c r="AB7" s="142"/>
      <c r="AC7" s="142"/>
      <c r="AD7" s="142"/>
      <c r="AE7" s="142"/>
      <c r="AF7" s="142"/>
      <c r="AG7" s="142"/>
      <c r="AH7" s="142"/>
      <c r="AI7" s="142"/>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row>
    <row r="8" spans="1:245" s="143" customFormat="1" x14ac:dyDescent="0.2">
      <c r="A8" s="127" t="s">
        <v>128</v>
      </c>
      <c r="B8" s="143" t="s">
        <v>350</v>
      </c>
      <c r="D8" s="143" t="s">
        <v>241</v>
      </c>
      <c r="E8" s="143" t="s">
        <v>492</v>
      </c>
      <c r="I8" s="141"/>
      <c r="J8" s="141"/>
      <c r="K8" s="142"/>
      <c r="L8" s="142"/>
      <c r="M8" s="142"/>
      <c r="N8" s="141"/>
      <c r="O8" s="142"/>
      <c r="P8" s="142"/>
      <c r="Q8" s="142"/>
      <c r="R8" s="142"/>
      <c r="S8" s="141"/>
      <c r="T8" s="142"/>
      <c r="U8" s="142"/>
      <c r="V8" s="142"/>
      <c r="W8" s="142"/>
      <c r="X8" s="142"/>
      <c r="Y8" s="142"/>
      <c r="Z8" s="142"/>
      <c r="AA8" s="142"/>
      <c r="AB8" s="142"/>
      <c r="AC8" s="142"/>
      <c r="AD8" s="142"/>
      <c r="AE8" s="142"/>
      <c r="AF8" s="142"/>
      <c r="AG8" s="142"/>
      <c r="AH8" s="142"/>
      <c r="AI8" s="142"/>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row>
    <row r="9" spans="1:245" s="137" customFormat="1" x14ac:dyDescent="0.2">
      <c r="A9" s="134" t="s">
        <v>129</v>
      </c>
      <c r="B9" s="137" t="s">
        <v>357</v>
      </c>
      <c r="C9" s="137" t="s">
        <v>328</v>
      </c>
      <c r="E9" s="137" t="s">
        <v>495</v>
      </c>
      <c r="G9" s="143"/>
      <c r="I9" s="135"/>
      <c r="J9" s="135"/>
      <c r="K9" s="136"/>
      <c r="L9" s="135"/>
      <c r="M9" s="135"/>
      <c r="N9" s="136"/>
      <c r="O9" s="136"/>
      <c r="P9" s="136"/>
      <c r="Q9" s="145"/>
      <c r="R9" s="136"/>
      <c r="S9" s="135"/>
      <c r="T9" s="135"/>
      <c r="U9" s="135"/>
      <c r="V9" s="136"/>
      <c r="W9" s="136"/>
      <c r="X9" s="136"/>
      <c r="Y9" s="136"/>
      <c r="Z9" s="136"/>
      <c r="AA9" s="136"/>
      <c r="AB9" s="136"/>
      <c r="AC9" s="136"/>
      <c r="AD9" s="136"/>
      <c r="AE9" s="136"/>
      <c r="AF9" s="136"/>
      <c r="AG9" s="136"/>
      <c r="AH9" s="136"/>
      <c r="AI9" s="136"/>
      <c r="AY9" s="138"/>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row>
    <row r="10" spans="1:245" s="137" customFormat="1" ht="25.5" x14ac:dyDescent="0.2">
      <c r="A10" s="134" t="s">
        <v>130</v>
      </c>
      <c r="B10" s="137" t="s">
        <v>351</v>
      </c>
      <c r="C10" s="137" t="s">
        <v>329</v>
      </c>
      <c r="E10" s="137" t="s">
        <v>496</v>
      </c>
      <c r="I10" s="135"/>
      <c r="J10" s="135"/>
      <c r="K10" s="136"/>
      <c r="L10" s="136"/>
      <c r="M10" s="136"/>
      <c r="N10" s="136"/>
      <c r="O10" s="136"/>
      <c r="P10" s="136"/>
      <c r="Q10" s="135"/>
      <c r="R10" s="136"/>
      <c r="S10" s="136"/>
      <c r="T10" s="136"/>
      <c r="U10" s="136"/>
      <c r="V10" s="136"/>
      <c r="W10" s="136"/>
      <c r="X10" s="136"/>
      <c r="Y10" s="136"/>
      <c r="Z10" s="136"/>
      <c r="AA10" s="136"/>
      <c r="AB10" s="136"/>
      <c r="AC10" s="136"/>
      <c r="AD10" s="136"/>
      <c r="AE10" s="136"/>
      <c r="AF10" s="136"/>
      <c r="AG10" s="136"/>
      <c r="AH10" s="136"/>
      <c r="AI10" s="136"/>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row>
    <row r="11" spans="1:245" s="143" customFormat="1" x14ac:dyDescent="0.2">
      <c r="A11" s="127" t="s">
        <v>131</v>
      </c>
      <c r="G11" s="137"/>
      <c r="I11" s="141"/>
      <c r="J11" s="141"/>
      <c r="K11" s="142"/>
      <c r="L11" s="142"/>
      <c r="M11" s="142"/>
      <c r="N11" s="142"/>
      <c r="O11" s="142"/>
      <c r="P11" s="142"/>
      <c r="Q11" s="142"/>
      <c r="R11" s="142"/>
      <c r="S11" s="141"/>
      <c r="T11" s="142"/>
      <c r="U11" s="142"/>
      <c r="V11" s="142"/>
      <c r="W11" s="142"/>
      <c r="X11" s="141"/>
      <c r="Y11" s="142"/>
      <c r="Z11" s="142"/>
      <c r="AA11" s="142"/>
      <c r="AB11" s="142"/>
      <c r="AC11" s="142"/>
      <c r="AD11" s="142"/>
      <c r="AE11" s="142"/>
      <c r="AF11" s="142"/>
      <c r="AG11" s="142"/>
      <c r="AH11" s="142"/>
      <c r="AI11" s="142"/>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row>
    <row r="12" spans="1:245" s="143" customFormat="1" ht="38.25" x14ac:dyDescent="0.2">
      <c r="A12" s="127" t="s">
        <v>132</v>
      </c>
      <c r="C12" s="143" t="s">
        <v>360</v>
      </c>
      <c r="D12" s="143" t="s">
        <v>361</v>
      </c>
      <c r="I12" s="141"/>
      <c r="J12" s="141"/>
      <c r="K12" s="142"/>
      <c r="L12" s="142"/>
      <c r="M12" s="142"/>
      <c r="N12" s="142"/>
      <c r="O12" s="142"/>
      <c r="P12" s="142"/>
      <c r="Q12" s="142"/>
      <c r="R12" s="142"/>
      <c r="S12" s="141"/>
      <c r="T12" s="142"/>
      <c r="U12" s="142"/>
      <c r="V12" s="142"/>
      <c r="W12" s="142"/>
      <c r="X12" s="141"/>
      <c r="Y12" s="142"/>
      <c r="Z12" s="142"/>
      <c r="AA12" s="142"/>
      <c r="AB12" s="142"/>
      <c r="AC12" s="142"/>
      <c r="AD12" s="142"/>
      <c r="AE12" s="142"/>
      <c r="AF12" s="142"/>
      <c r="AG12" s="142"/>
      <c r="AH12" s="142"/>
      <c r="AI12" s="142"/>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row>
    <row r="13" spans="1:245" s="137" customFormat="1" x14ac:dyDescent="0.2">
      <c r="A13" s="134" t="s">
        <v>133</v>
      </c>
      <c r="G13" s="143"/>
      <c r="I13" s="135"/>
      <c r="J13" s="135"/>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row>
    <row r="14" spans="1:245" s="137" customFormat="1" x14ac:dyDescent="0.2">
      <c r="A14" s="134" t="s">
        <v>134</v>
      </c>
      <c r="I14" s="135"/>
      <c r="J14" s="135"/>
      <c r="K14" s="136"/>
      <c r="L14" s="136"/>
      <c r="M14" s="136"/>
      <c r="N14" s="135"/>
      <c r="O14" s="136"/>
      <c r="P14" s="136"/>
      <c r="Q14" s="136"/>
      <c r="R14" s="136"/>
      <c r="S14" s="136"/>
      <c r="T14" s="136"/>
      <c r="U14" s="136"/>
      <c r="V14" s="136"/>
      <c r="W14" s="136"/>
      <c r="X14" s="136"/>
      <c r="Y14" s="136"/>
      <c r="Z14" s="136"/>
      <c r="AA14" s="136"/>
      <c r="AB14" s="136"/>
      <c r="AC14" s="136"/>
      <c r="AD14" s="136"/>
      <c r="AE14" s="136"/>
      <c r="AF14" s="136"/>
      <c r="AG14" s="136"/>
      <c r="AH14" s="136"/>
      <c r="AI14" s="136"/>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row>
    <row r="15" spans="1:245" s="130" customFormat="1" ht="25.5" x14ac:dyDescent="0.2">
      <c r="A15" s="127" t="s">
        <v>135</v>
      </c>
      <c r="D15" s="130" t="s">
        <v>244</v>
      </c>
      <c r="G15" s="137"/>
      <c r="I15" s="128"/>
      <c r="J15" s="128"/>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row>
    <row r="16" spans="1:245" s="143" customFormat="1" x14ac:dyDescent="0.2">
      <c r="A16" s="127" t="s">
        <v>136</v>
      </c>
      <c r="D16" s="143" t="s">
        <v>242</v>
      </c>
      <c r="G16" s="130"/>
      <c r="I16" s="141"/>
      <c r="J16" s="141"/>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CC16" s="130"/>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row>
    <row r="17" spans="1:210" s="148" customFormat="1" x14ac:dyDescent="0.2">
      <c r="A17" s="134" t="s">
        <v>137</v>
      </c>
      <c r="B17" s="148" t="s">
        <v>352</v>
      </c>
      <c r="C17" s="148" t="s">
        <v>526</v>
      </c>
      <c r="D17" s="148" t="s">
        <v>243</v>
      </c>
      <c r="E17" s="148" t="s">
        <v>491</v>
      </c>
      <c r="G17" s="143"/>
      <c r="I17" s="146"/>
      <c r="J17" s="146"/>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row>
    <row r="18" spans="1:210" s="148" customFormat="1" x14ac:dyDescent="0.2">
      <c r="A18" s="134" t="s">
        <v>138</v>
      </c>
      <c r="C18" s="324"/>
      <c r="I18" s="146"/>
      <c r="J18" s="146"/>
      <c r="K18" s="147"/>
      <c r="L18" s="147"/>
      <c r="M18" s="147"/>
      <c r="N18" s="147"/>
      <c r="O18" s="147"/>
      <c r="P18" s="147"/>
      <c r="Q18" s="147"/>
      <c r="R18" s="147"/>
      <c r="S18" s="147"/>
      <c r="T18" s="147"/>
      <c r="U18" s="147"/>
      <c r="V18" s="147"/>
      <c r="W18" s="147"/>
      <c r="X18" s="150"/>
      <c r="Y18" s="147"/>
      <c r="Z18" s="147"/>
      <c r="AA18" s="147"/>
      <c r="AB18" s="147"/>
      <c r="AC18" s="147"/>
      <c r="AD18" s="147"/>
      <c r="AE18" s="147"/>
      <c r="AF18" s="147"/>
      <c r="AG18" s="147"/>
      <c r="AH18" s="147"/>
      <c r="AI18" s="147"/>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row>
    <row r="19" spans="1:210" s="130" customFormat="1" x14ac:dyDescent="0.2">
      <c r="A19" s="127" t="s">
        <v>139</v>
      </c>
      <c r="G19" s="148"/>
      <c r="I19" s="128"/>
      <c r="J19" s="128"/>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row>
    <row r="20" spans="1:210" s="155" customFormat="1" ht="76.5" x14ac:dyDescent="0.25">
      <c r="A20" s="151" t="s">
        <v>140</v>
      </c>
      <c r="B20" s="128" t="s">
        <v>358</v>
      </c>
      <c r="C20" s="325" t="s">
        <v>525</v>
      </c>
      <c r="D20" s="128" t="s">
        <v>528</v>
      </c>
      <c r="E20" s="260" t="s">
        <v>493</v>
      </c>
      <c r="F20" s="128"/>
      <c r="G20" s="130"/>
      <c r="H20" s="260"/>
      <c r="I20" s="152"/>
      <c r="J20" s="152"/>
      <c r="K20" s="153"/>
      <c r="L20" s="153"/>
      <c r="M20" s="154"/>
      <c r="N20" s="153"/>
      <c r="P20" s="156"/>
      <c r="Q20" s="153"/>
      <c r="R20" s="153"/>
      <c r="T20" s="153"/>
      <c r="U20" s="153"/>
      <c r="V20" s="153"/>
      <c r="W20" s="153"/>
      <c r="X20" s="153"/>
      <c r="Y20" s="153"/>
      <c r="Z20" s="153"/>
      <c r="AA20" s="156"/>
      <c r="AB20" s="156"/>
      <c r="AC20" s="156"/>
      <c r="AD20" s="156"/>
      <c r="AE20" s="156"/>
      <c r="AF20" s="156"/>
      <c r="AG20" s="156"/>
      <c r="AH20" s="156"/>
      <c r="AI20" s="156"/>
      <c r="AJ20" s="156"/>
      <c r="AK20" s="156"/>
      <c r="AL20" s="156"/>
      <c r="AM20" s="156"/>
      <c r="AN20" s="156"/>
      <c r="AO20" s="156"/>
      <c r="AP20" s="156"/>
      <c r="AQ20" s="156"/>
      <c r="AR20" s="156"/>
      <c r="AS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X20" s="156"/>
      <c r="BY20" s="156"/>
      <c r="BZ20" s="156"/>
      <c r="CA20" s="156"/>
      <c r="CB20" s="156"/>
      <c r="CC20" s="156"/>
      <c r="CD20" s="156"/>
      <c r="CE20" s="156"/>
      <c r="CF20" s="156"/>
      <c r="CG20" s="156"/>
      <c r="CH20" s="156"/>
      <c r="CI20" s="156"/>
      <c r="CK20" s="156"/>
      <c r="CL20" s="156"/>
      <c r="CN20" s="156"/>
      <c r="CO20" s="156"/>
      <c r="CP20" s="156"/>
      <c r="CQ20" s="156"/>
      <c r="CR20" s="156"/>
      <c r="CS20" s="156"/>
      <c r="CT20" s="156"/>
      <c r="CU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GC20" s="154"/>
      <c r="GE20" s="154"/>
      <c r="GI20" s="154"/>
      <c r="GJ20" s="154"/>
      <c r="GK20" s="154"/>
      <c r="GM20" s="154"/>
      <c r="GN20" s="154"/>
      <c r="GO20" s="154"/>
      <c r="GP20" s="154"/>
      <c r="GQ20" s="154"/>
      <c r="GR20" s="154"/>
      <c r="GS20" s="154"/>
      <c r="GT20" s="154"/>
      <c r="GU20" s="154"/>
      <c r="GV20" s="154"/>
      <c r="GW20" s="154"/>
      <c r="GX20" s="154"/>
      <c r="GY20" s="154"/>
      <c r="GZ20" s="154"/>
      <c r="HA20" s="154"/>
      <c r="HB20" s="154"/>
    </row>
    <row r="21" spans="1:210" s="141" customFormat="1" ht="25.5" x14ac:dyDescent="0.25">
      <c r="A21" s="157" t="s">
        <v>141</v>
      </c>
      <c r="B21" s="141" t="s">
        <v>353</v>
      </c>
      <c r="C21" s="141" t="s">
        <v>353</v>
      </c>
      <c r="D21" s="141" t="s">
        <v>362</v>
      </c>
      <c r="E21" s="141" t="s">
        <v>494</v>
      </c>
      <c r="G21" s="128"/>
      <c r="I21" s="158"/>
      <c r="J21" s="158"/>
      <c r="K21" s="159"/>
      <c r="L21" s="159"/>
      <c r="M21" s="160"/>
      <c r="N21" s="159"/>
      <c r="P21" s="161"/>
      <c r="Q21" s="159"/>
      <c r="R21" s="159"/>
      <c r="T21" s="159"/>
      <c r="U21" s="159"/>
      <c r="V21" s="159"/>
      <c r="W21" s="159"/>
      <c r="X21" s="159"/>
      <c r="Y21" s="159"/>
      <c r="Z21" s="159"/>
      <c r="AA21" s="161"/>
      <c r="AB21" s="161"/>
      <c r="AC21" s="161"/>
      <c r="AD21" s="161"/>
      <c r="AE21" s="161"/>
      <c r="AF21" s="161"/>
      <c r="AG21" s="161"/>
      <c r="AH21" s="161"/>
      <c r="AI21" s="161"/>
      <c r="AJ21" s="161"/>
      <c r="AK21" s="161"/>
      <c r="AL21" s="161"/>
      <c r="AM21" s="161"/>
      <c r="AN21" s="161"/>
      <c r="AO21" s="161"/>
      <c r="AP21" s="161"/>
      <c r="AQ21" s="161"/>
      <c r="AR21" s="161"/>
      <c r="AS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X21" s="161"/>
      <c r="BY21" s="161"/>
      <c r="BZ21" s="161"/>
      <c r="CA21" s="161"/>
      <c r="CB21" s="161"/>
      <c r="CC21" s="161"/>
      <c r="CD21" s="161"/>
      <c r="CE21" s="161"/>
      <c r="CF21" s="161"/>
      <c r="CG21" s="161"/>
      <c r="CH21" s="161"/>
      <c r="CI21" s="161"/>
      <c r="CK21" s="161"/>
      <c r="CL21" s="161"/>
      <c r="CN21" s="161"/>
      <c r="CO21" s="161"/>
      <c r="CP21" s="161"/>
      <c r="CQ21" s="161"/>
      <c r="CR21" s="161"/>
      <c r="CS21" s="161"/>
      <c r="CT21" s="161"/>
      <c r="CU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GC21" s="160"/>
      <c r="GE21" s="160"/>
      <c r="GI21" s="160"/>
      <c r="GJ21" s="160"/>
      <c r="GK21" s="160"/>
      <c r="GM21" s="160"/>
      <c r="GN21" s="160"/>
      <c r="GO21" s="160"/>
      <c r="GP21" s="160"/>
      <c r="GQ21" s="160"/>
      <c r="GR21" s="160"/>
      <c r="GS21" s="160"/>
      <c r="GT21" s="160"/>
      <c r="GU21" s="160"/>
      <c r="GV21" s="160"/>
      <c r="GW21" s="160"/>
      <c r="GX21" s="160"/>
      <c r="GY21" s="160"/>
      <c r="GZ21" s="160"/>
      <c r="HA21" s="160"/>
      <c r="HB21" s="160"/>
    </row>
    <row r="22" spans="1:210" s="137" customFormat="1" x14ac:dyDescent="0.2">
      <c r="A22" s="134" t="s">
        <v>142</v>
      </c>
      <c r="B22" s="137" t="s">
        <v>354</v>
      </c>
      <c r="E22" s="137" t="s">
        <v>354</v>
      </c>
      <c r="G22" s="141"/>
      <c r="I22" s="135"/>
      <c r="J22" s="135"/>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row>
    <row r="23" spans="1:210" s="148" customFormat="1" ht="25.5" x14ac:dyDescent="0.2">
      <c r="A23" s="134" t="s">
        <v>143</v>
      </c>
      <c r="B23" s="148" t="s">
        <v>355</v>
      </c>
      <c r="E23" s="148" t="s">
        <v>390</v>
      </c>
      <c r="G23" s="137"/>
      <c r="I23" s="146"/>
      <c r="J23" s="146"/>
      <c r="K23" s="136"/>
      <c r="L23" s="147"/>
      <c r="M23" s="135"/>
      <c r="N23" s="147"/>
      <c r="O23" s="147"/>
      <c r="P23" s="147"/>
      <c r="Q23" s="146"/>
      <c r="R23" s="147"/>
      <c r="S23" s="146"/>
      <c r="T23" s="147"/>
      <c r="U23" s="147"/>
      <c r="V23" s="147"/>
      <c r="W23" s="147"/>
      <c r="X23" s="146"/>
      <c r="Y23" s="147"/>
      <c r="Z23" s="147"/>
      <c r="AA23" s="147"/>
      <c r="AB23" s="147"/>
      <c r="AC23" s="147"/>
      <c r="AD23" s="147"/>
      <c r="AE23" s="147"/>
      <c r="AF23" s="147"/>
      <c r="AG23" s="147"/>
      <c r="AH23" s="147"/>
      <c r="AI23" s="147"/>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row>
    <row r="24" spans="1:210" s="143" customFormat="1" ht="25.5" x14ac:dyDescent="0.2">
      <c r="A24" s="127" t="s">
        <v>144</v>
      </c>
      <c r="B24" s="143" t="s">
        <v>346</v>
      </c>
      <c r="G24" s="148"/>
      <c r="I24" s="141"/>
      <c r="J24" s="141"/>
      <c r="K24" s="129"/>
      <c r="L24" s="142"/>
      <c r="M24" s="128"/>
      <c r="N24" s="142"/>
      <c r="O24" s="142"/>
      <c r="P24" s="142"/>
      <c r="Q24" s="129"/>
      <c r="R24" s="142"/>
      <c r="S24" s="128"/>
      <c r="T24" s="142"/>
      <c r="U24" s="142"/>
      <c r="V24" s="142"/>
      <c r="W24" s="142"/>
      <c r="X24" s="142"/>
      <c r="Y24" s="142"/>
      <c r="Z24" s="142"/>
      <c r="AA24" s="142"/>
      <c r="AB24" s="142"/>
      <c r="AC24" s="142"/>
      <c r="AD24" s="142"/>
      <c r="AE24" s="142"/>
      <c r="AF24" s="142"/>
      <c r="AG24" s="142"/>
      <c r="AH24" s="142"/>
      <c r="AI24" s="142"/>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row>
    <row r="25" spans="1:210" s="130" customFormat="1" x14ac:dyDescent="0.2">
      <c r="A25" s="127" t="s">
        <v>145</v>
      </c>
      <c r="G25" s="143"/>
      <c r="I25" s="128"/>
      <c r="J25" s="128"/>
      <c r="K25" s="129"/>
      <c r="L25" s="129"/>
      <c r="M25" s="128"/>
      <c r="N25" s="129"/>
      <c r="O25" s="129"/>
      <c r="P25" s="129"/>
      <c r="Q25" s="128"/>
      <c r="R25" s="129"/>
      <c r="S25" s="128"/>
      <c r="T25" s="129"/>
      <c r="U25" s="129"/>
      <c r="V25" s="129"/>
      <c r="W25" s="129"/>
      <c r="X25" s="129"/>
      <c r="Y25" s="129"/>
      <c r="Z25" s="129"/>
      <c r="AA25" s="129"/>
      <c r="AB25" s="129"/>
      <c r="AC25" s="129"/>
      <c r="AD25" s="129"/>
      <c r="AE25" s="129"/>
      <c r="AF25" s="129"/>
      <c r="AG25" s="129"/>
      <c r="AH25" s="129"/>
      <c r="AI25" s="129"/>
      <c r="GC25" s="131"/>
      <c r="GD25" s="131"/>
      <c r="GE25" s="131"/>
      <c r="GF25" s="131"/>
      <c r="GG25" s="131"/>
      <c r="GH25" s="131"/>
      <c r="GI25" s="131"/>
      <c r="GJ25" s="131"/>
      <c r="GK25" s="131"/>
      <c r="GL25" s="131"/>
      <c r="GM25" s="131"/>
      <c r="GN25" s="131"/>
      <c r="GO25" s="131"/>
      <c r="GP25" s="131"/>
      <c r="GQ25" s="131"/>
      <c r="GR25" s="131"/>
      <c r="GS25" s="131"/>
      <c r="GT25" s="131"/>
      <c r="GU25" s="131"/>
      <c r="GV25" s="131"/>
      <c r="GW25" s="131"/>
      <c r="GX25" s="131"/>
      <c r="GY25" s="131"/>
      <c r="GZ25" s="131"/>
      <c r="HA25" s="131"/>
      <c r="HB25" s="131"/>
    </row>
    <row r="26" spans="1:210" s="137" customFormat="1" ht="153" x14ac:dyDescent="0.2">
      <c r="A26" s="138" t="s">
        <v>146</v>
      </c>
      <c r="B26" s="137" t="s">
        <v>359</v>
      </c>
      <c r="C26" s="137" t="s">
        <v>527</v>
      </c>
      <c r="D26" s="137" t="s">
        <v>529</v>
      </c>
      <c r="E26" s="137" t="s">
        <v>497</v>
      </c>
      <c r="G26" s="130"/>
      <c r="H26" s="130"/>
      <c r="I26" s="135"/>
      <c r="J26" s="135"/>
      <c r="K26" s="162"/>
      <c r="L26" s="135"/>
      <c r="M26" s="135"/>
      <c r="N26" s="135"/>
      <c r="O26" s="135"/>
      <c r="P26" s="135"/>
      <c r="Q26" s="135"/>
      <c r="R26" s="135"/>
      <c r="S26" s="135"/>
      <c r="T26" s="135"/>
      <c r="U26" s="135"/>
      <c r="V26" s="135"/>
      <c r="W26" s="135"/>
      <c r="X26" s="135"/>
      <c r="Y26" s="135"/>
      <c r="Z26" s="135"/>
      <c r="AA26" s="163"/>
      <c r="AB26" s="163"/>
      <c r="AC26" s="163"/>
      <c r="AD26" s="135"/>
      <c r="AE26" s="163"/>
      <c r="AF26" s="163"/>
      <c r="AG26" s="163"/>
      <c r="AH26" s="163"/>
      <c r="AI26" s="163"/>
      <c r="AJ26" s="138"/>
      <c r="AK26" s="164"/>
      <c r="AL26" s="164"/>
      <c r="AM26" s="164"/>
      <c r="AN26" s="164"/>
      <c r="AO26" s="164"/>
      <c r="AP26" s="164"/>
      <c r="AQ26" s="164"/>
      <c r="AR26" s="164"/>
      <c r="AS26" s="164"/>
      <c r="AU26" s="138"/>
      <c r="AV26" s="138"/>
      <c r="AW26" s="138"/>
      <c r="AX26" s="138"/>
      <c r="BL26" s="164"/>
      <c r="DS26" s="138"/>
      <c r="DT26" s="138"/>
      <c r="GC26" s="139"/>
      <c r="GD26" s="139"/>
      <c r="GE26" s="139"/>
      <c r="GF26" s="139"/>
      <c r="GG26" s="139"/>
      <c r="GH26" s="139"/>
      <c r="GI26" s="139"/>
      <c r="GJ26" s="139"/>
      <c r="GK26" s="140"/>
      <c r="GL26" s="139"/>
      <c r="GM26" s="139"/>
      <c r="GN26" s="139"/>
      <c r="GO26" s="139"/>
      <c r="GP26" s="139"/>
      <c r="GQ26" s="139"/>
      <c r="GR26" s="139"/>
      <c r="GS26" s="139"/>
      <c r="GT26" s="139"/>
      <c r="GU26" s="139"/>
      <c r="GV26" s="139"/>
      <c r="GW26" s="139"/>
      <c r="GX26" s="139"/>
      <c r="GY26" s="139"/>
      <c r="GZ26" s="139"/>
      <c r="HA26" s="165"/>
      <c r="HB26" s="165"/>
    </row>
    <row r="27" spans="1:210" s="137" customFormat="1" ht="51" x14ac:dyDescent="0.25">
      <c r="A27" s="134" t="s">
        <v>147</v>
      </c>
      <c r="B27" s="135" t="s">
        <v>356</v>
      </c>
      <c r="C27" s="135" t="s">
        <v>480</v>
      </c>
      <c r="D27" s="135" t="s">
        <v>489</v>
      </c>
      <c r="E27" s="135" t="s">
        <v>498</v>
      </c>
      <c r="F27" s="135"/>
      <c r="H27" s="135"/>
      <c r="I27" s="135"/>
      <c r="J27" s="135"/>
      <c r="K27" s="136"/>
      <c r="L27" s="136"/>
      <c r="M27" s="136"/>
      <c r="N27" s="136"/>
      <c r="O27" s="136"/>
      <c r="P27" s="136"/>
      <c r="Q27" s="136"/>
      <c r="R27" s="136"/>
      <c r="S27" s="135"/>
      <c r="T27" s="136"/>
      <c r="U27" s="136"/>
      <c r="V27" s="136"/>
      <c r="W27" s="136"/>
      <c r="X27" s="135"/>
      <c r="Y27" s="136"/>
      <c r="Z27" s="136"/>
      <c r="AA27" s="136"/>
      <c r="AB27" s="136"/>
      <c r="AC27" s="136"/>
      <c r="AD27" s="136"/>
      <c r="AE27" s="136"/>
      <c r="AF27" s="136"/>
      <c r="AG27" s="136"/>
      <c r="AH27" s="136"/>
      <c r="AI27" s="136"/>
    </row>
    <row r="28" spans="1:210" s="166" customFormat="1" ht="12.75" customHeight="1" x14ac:dyDescent="0.25">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row>
    <row r="29" spans="1:210" s="166" customFormat="1" ht="12.75" customHeight="1" x14ac:dyDescent="0.25">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row>
    <row r="30" spans="1:210" s="166" customFormat="1" ht="12.75" customHeight="1" x14ac:dyDescent="0.25">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row>
    <row r="31" spans="1:210" s="166" customFormat="1" ht="12.75" customHeight="1" x14ac:dyDescent="0.25">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row>
    <row r="32" spans="1:210" s="166" customFormat="1" ht="12.75" customHeight="1" x14ac:dyDescent="0.25">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row>
    <row r="33" spans="2:35" s="166" customFormat="1" ht="12.75" customHeight="1" x14ac:dyDescent="0.25">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row>
    <row r="34" spans="2:35" s="166" customFormat="1" ht="12.75" customHeight="1" x14ac:dyDescent="0.25">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row>
    <row r="35" spans="2:35" s="166" customFormat="1" ht="12.75" customHeight="1" x14ac:dyDescent="0.25">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row>
    <row r="36" spans="2:35" s="166" customFormat="1" ht="12.75" customHeight="1" x14ac:dyDescent="0.25">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row>
    <row r="37" spans="2:35" s="166" customFormat="1" ht="12.75" customHeight="1" x14ac:dyDescent="0.25">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row>
    <row r="38" spans="2:35" s="166" customFormat="1" ht="12.75" customHeight="1" x14ac:dyDescent="0.25">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row>
    <row r="39" spans="2:35" s="166" customFormat="1" ht="12.75" customHeight="1" x14ac:dyDescent="0.25">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row>
    <row r="40" spans="2:35" s="166" customFormat="1" ht="12.75" customHeight="1" x14ac:dyDescent="0.25">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row>
    <row r="50" spans="1:35" ht="12.75" customHeight="1" x14ac:dyDescent="0.2">
      <c r="A50" s="168" t="s">
        <v>148</v>
      </c>
    </row>
    <row r="51" spans="1:35" s="171" customFormat="1" ht="12.75" customHeight="1" x14ac:dyDescent="0.25">
      <c r="B51" s="172" t="s">
        <v>149</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row>
    <row r="52" spans="1:35" ht="12.75" customHeight="1" x14ac:dyDescent="0.2">
      <c r="B52" s="173" t="s">
        <v>79</v>
      </c>
      <c r="C52" s="173"/>
      <c r="D52" s="173"/>
      <c r="E52" s="173"/>
      <c r="F52" s="173"/>
    </row>
    <row r="53" spans="1:35" ht="12.75" customHeight="1" x14ac:dyDescent="0.2">
      <c r="B53" s="174" t="s">
        <v>150</v>
      </c>
      <c r="C53" s="174"/>
      <c r="D53" s="174"/>
      <c r="E53" s="174"/>
      <c r="F53" s="174"/>
    </row>
    <row r="54" spans="1:35" ht="12.75" customHeight="1" x14ac:dyDescent="0.2">
      <c r="B54" s="174" t="s">
        <v>151</v>
      </c>
      <c r="C54" s="174"/>
      <c r="D54" s="174"/>
      <c r="E54" s="174"/>
      <c r="F54" s="174"/>
    </row>
    <row r="55" spans="1:35" ht="12.75" customHeight="1" x14ac:dyDescent="0.2">
      <c r="B55" s="174" t="s">
        <v>152</v>
      </c>
      <c r="C55" s="174"/>
      <c r="D55" s="174"/>
      <c r="E55" s="174"/>
      <c r="F55" s="174"/>
    </row>
    <row r="56" spans="1:35" ht="12.75" customHeight="1" x14ac:dyDescent="0.2">
      <c r="B56" s="174" t="s">
        <v>153</v>
      </c>
      <c r="C56" s="174"/>
      <c r="D56" s="174"/>
      <c r="E56" s="174"/>
      <c r="F56" s="174"/>
    </row>
    <row r="57" spans="1:35" ht="12.75" customHeight="1" x14ac:dyDescent="0.2">
      <c r="B57" s="174" t="s">
        <v>154</v>
      </c>
      <c r="C57" s="174"/>
      <c r="D57" s="174"/>
      <c r="E57" s="174"/>
      <c r="F57" s="174"/>
    </row>
    <row r="58" spans="1:35" ht="12.75" customHeight="1" x14ac:dyDescent="0.2">
      <c r="B58" s="174" t="s">
        <v>155</v>
      </c>
      <c r="C58" s="174"/>
      <c r="D58" s="174"/>
      <c r="E58" s="174"/>
      <c r="F58" s="174"/>
    </row>
    <row r="59" spans="1:35" ht="12.75" customHeight="1" x14ac:dyDescent="0.2">
      <c r="B59" s="174" t="s">
        <v>156</v>
      </c>
      <c r="C59" s="174"/>
      <c r="D59" s="174"/>
      <c r="E59" s="174"/>
      <c r="F59" s="174"/>
    </row>
    <row r="60" spans="1:35" ht="12.75" customHeight="1" x14ac:dyDescent="0.2">
      <c r="B60" s="174" t="s">
        <v>157</v>
      </c>
      <c r="C60" s="174"/>
      <c r="D60" s="174"/>
      <c r="E60" s="174"/>
      <c r="F60" s="174"/>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E20" r:id="rId1"/>
    <hyperlink ref="C20" r:id="rId2"/>
  </hyperlinks>
  <pageMargins left="0.25" right="0.25" top="0.5" bottom="0.5" header="0.3" footer="0.3"/>
  <pageSetup scale="99" orientation="landscape" r:id="rId3"/>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96" t="s">
        <v>18</v>
      </c>
      <c r="B1" s="396"/>
      <c r="C1" s="396"/>
      <c r="D1" s="396"/>
      <c r="E1" s="396"/>
      <c r="F1" s="396"/>
      <c r="G1" s="396"/>
      <c r="H1" s="396"/>
      <c r="I1" s="396"/>
      <c r="J1" s="396"/>
      <c r="K1" s="39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5" t="s">
        <v>158</v>
      </c>
      <c r="C2" s="176"/>
      <c r="D2" s="176"/>
      <c r="E2" s="176"/>
      <c r="F2" s="176"/>
      <c r="G2" s="176"/>
      <c r="H2" s="176"/>
    </row>
    <row r="3" spans="1:39" s="174" customFormat="1" ht="40.5" customHeight="1" x14ac:dyDescent="0.2">
      <c r="B3" s="177" t="s">
        <v>159</v>
      </c>
      <c r="C3" s="178" t="s">
        <v>160</v>
      </c>
      <c r="D3" s="178" t="s">
        <v>161</v>
      </c>
      <c r="E3" s="178" t="s">
        <v>85</v>
      </c>
      <c r="F3" s="178" t="s">
        <v>162</v>
      </c>
      <c r="G3" s="178" t="s">
        <v>163</v>
      </c>
      <c r="H3" s="178" t="s">
        <v>164</v>
      </c>
      <c r="I3" s="179" t="s">
        <v>17</v>
      </c>
      <c r="J3" s="178" t="s">
        <v>165</v>
      </c>
      <c r="K3" s="178" t="s">
        <v>166</v>
      </c>
    </row>
    <row r="4" spans="1:39" s="174" customFormat="1" x14ac:dyDescent="0.2">
      <c r="B4" s="62" t="s">
        <v>238</v>
      </c>
      <c r="C4" s="48">
        <v>2</v>
      </c>
      <c r="D4" s="250">
        <v>2</v>
      </c>
      <c r="E4" s="250">
        <v>2</v>
      </c>
      <c r="F4" s="250">
        <v>3</v>
      </c>
      <c r="G4" s="250">
        <v>3</v>
      </c>
      <c r="H4" s="251">
        <v>1</v>
      </c>
      <c r="I4" s="180" t="str">
        <f t="shared" ref="I4:I8" si="0">IF(D4&lt;&gt;"",D4&amp;","&amp;E4&amp;","&amp;F4&amp;","&amp;G4&amp;","&amp;H4,"0,0,0,0,0")</f>
        <v>2,2,3,3,1</v>
      </c>
      <c r="J4" s="181" t="str">
        <f>IF(MAX(D4:H4)&gt;=5, "Requirements not met", "Requirements met")</f>
        <v>Requirements met</v>
      </c>
      <c r="K4" s="182" t="str">
        <f>IF(MAX(D4:H4)&gt;=5, "Not OK", "OK")</f>
        <v>OK</v>
      </c>
    </row>
    <row r="5" spans="1:39" s="174" customFormat="1" x14ac:dyDescent="0.2">
      <c r="B5" s="62" t="s">
        <v>479</v>
      </c>
      <c r="C5" s="48">
        <v>1</v>
      </c>
      <c r="D5" s="250">
        <v>2</v>
      </c>
      <c r="E5" s="250">
        <v>4</v>
      </c>
      <c r="F5" s="250">
        <v>1</v>
      </c>
      <c r="G5" s="250">
        <v>2</v>
      </c>
      <c r="H5" s="251">
        <v>2</v>
      </c>
      <c r="I5" s="180" t="str">
        <f t="shared" si="0"/>
        <v>2,4,1,2,2</v>
      </c>
      <c r="J5" s="181" t="str">
        <f>IF(MAX(D5:H5)&gt;=5, "Requirements not met", "Requirements met")</f>
        <v>Requirements met</v>
      </c>
      <c r="K5" s="182" t="str">
        <f>IF(MAX(D5:H5)&gt;=5, "Not OK", "OK")</f>
        <v>OK</v>
      </c>
    </row>
    <row r="6" spans="1:39" s="174" customFormat="1" x14ac:dyDescent="0.2">
      <c r="B6" s="62"/>
      <c r="C6" s="48"/>
      <c r="D6" s="250"/>
      <c r="E6" s="250"/>
      <c r="F6" s="250"/>
      <c r="G6" s="250"/>
      <c r="H6" s="251"/>
      <c r="I6" s="180" t="str">
        <f t="shared" si="0"/>
        <v>0,0,0,0,0</v>
      </c>
      <c r="J6" s="181" t="str">
        <f>IF(MAX(D6:H6)&gt;=5, "Requirements not met", "Requirements met")</f>
        <v>Requirements met</v>
      </c>
      <c r="K6" s="182" t="str">
        <f>IF(MAX(D6:H6)&gt;=5, "Not OK", "OK")</f>
        <v>OK</v>
      </c>
    </row>
    <row r="7" spans="1:39" s="174" customFormat="1" x14ac:dyDescent="0.2">
      <c r="B7" s="62"/>
      <c r="C7" s="48"/>
      <c r="D7" s="250"/>
      <c r="E7" s="250"/>
      <c r="F7" s="250"/>
      <c r="G7" s="250"/>
      <c r="H7" s="251"/>
      <c r="I7" s="180" t="str">
        <f t="shared" si="0"/>
        <v>0,0,0,0,0</v>
      </c>
      <c r="J7" s="181" t="str">
        <f>IF(MAX(D7:H7)&gt;=5, "Requirements not met", "Requirements met")</f>
        <v>Requirements met</v>
      </c>
      <c r="K7" s="182" t="str">
        <f>IF(MAX(D7:H7)&gt;=5, "Not OK", "OK")</f>
        <v>OK</v>
      </c>
    </row>
    <row r="8" spans="1:39" s="174" customFormat="1" x14ac:dyDescent="0.2">
      <c r="B8" s="62"/>
      <c r="C8" s="48"/>
      <c r="D8" s="250"/>
      <c r="E8" s="250"/>
      <c r="F8" s="250"/>
      <c r="G8" s="250"/>
      <c r="H8" s="251"/>
      <c r="I8" s="180" t="str">
        <f t="shared" si="0"/>
        <v>0,0,0,0,0</v>
      </c>
      <c r="J8" s="181" t="str">
        <f>IF(MAX(D8:H8)&gt;=5, "Requirements not met", "Requirements met")</f>
        <v>Requirements met</v>
      </c>
      <c r="K8" s="182" t="str">
        <f>IF(MAX(D8:H8)&gt;=5, "Not OK", "OK")</f>
        <v>OK</v>
      </c>
    </row>
    <row r="9" spans="1:39" s="174" customFormat="1" ht="12.75" customHeight="1" x14ac:dyDescent="0.2">
      <c r="B9" s="183" t="s">
        <v>73</v>
      </c>
      <c r="C9" s="184"/>
      <c r="D9" s="184"/>
      <c r="E9" s="184"/>
      <c r="F9" s="184"/>
      <c r="G9" s="184"/>
      <c r="H9" s="184"/>
      <c r="I9" s="185" t="str">
        <f>MAX(D4:D8)&amp;","&amp;MAX(E4:E8)&amp;","&amp;MAX(F4:F8)&amp;","&amp;MAX(G4:G8)&amp;","&amp;MAX(H4:H8)</f>
        <v>2,4,3,3,2</v>
      </c>
      <c r="J9" s="411"/>
      <c r="K9" s="411"/>
    </row>
    <row r="10" spans="1:39" ht="20.25" x14ac:dyDescent="0.3">
      <c r="B10" s="11"/>
      <c r="C10" s="11"/>
      <c r="D10" s="11"/>
      <c r="E10" s="11"/>
      <c r="F10" s="11"/>
      <c r="G10" s="11"/>
      <c r="H10" s="11"/>
      <c r="I10" s="77"/>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75" t="s">
        <v>167</v>
      </c>
      <c r="C11" s="11"/>
      <c r="D11" s="11"/>
      <c r="E11" s="11"/>
      <c r="F11" s="11"/>
      <c r="G11" s="11"/>
      <c r="H11" s="77"/>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87" customFormat="1" ht="13.5" thickBot="1" x14ac:dyDescent="0.25">
      <c r="A12" s="186" t="s">
        <v>168</v>
      </c>
    </row>
    <row r="13" spans="1:39" ht="17.25" customHeight="1" thickBot="1" x14ac:dyDescent="0.25">
      <c r="B13" s="412" t="s">
        <v>169</v>
      </c>
      <c r="C13" s="414" t="s">
        <v>170</v>
      </c>
      <c r="D13" s="415"/>
      <c r="E13" s="415"/>
      <c r="F13" s="415"/>
      <c r="G13" s="416"/>
    </row>
    <row r="14" spans="1:39" ht="13.5" thickBot="1" x14ac:dyDescent="0.25">
      <c r="B14" s="413"/>
      <c r="C14" s="188">
        <v>1</v>
      </c>
      <c r="D14" s="188">
        <v>2</v>
      </c>
      <c r="E14" s="188">
        <v>3</v>
      </c>
      <c r="F14" s="188">
        <v>4</v>
      </c>
      <c r="G14" s="188">
        <v>5</v>
      </c>
    </row>
    <row r="15" spans="1:39" ht="72.75" thickBot="1" x14ac:dyDescent="0.25">
      <c r="B15" s="417" t="s">
        <v>171</v>
      </c>
      <c r="C15" s="189" t="s">
        <v>172</v>
      </c>
      <c r="D15" s="189" t="s">
        <v>173</v>
      </c>
      <c r="E15" s="189" t="s">
        <v>174</v>
      </c>
      <c r="F15" s="189" t="s">
        <v>175</v>
      </c>
      <c r="G15" s="189" t="s">
        <v>176</v>
      </c>
    </row>
    <row r="16" spans="1:39" ht="24" customHeight="1" thickBot="1" x14ac:dyDescent="0.25">
      <c r="B16" s="418"/>
      <c r="C16" s="420" t="s">
        <v>177</v>
      </c>
      <c r="D16" s="421"/>
      <c r="E16" s="420" t="s">
        <v>178</v>
      </c>
      <c r="F16" s="422"/>
      <c r="G16" s="421"/>
    </row>
    <row r="17" spans="1:18" ht="36.75" thickBot="1" x14ac:dyDescent="0.25">
      <c r="B17" s="419"/>
      <c r="C17" s="190" t="s">
        <v>179</v>
      </c>
      <c r="D17" s="423" t="s">
        <v>180</v>
      </c>
      <c r="E17" s="424"/>
      <c r="F17" s="425" t="s">
        <v>181</v>
      </c>
      <c r="G17" s="426"/>
    </row>
    <row r="18" spans="1:18" ht="60.75" thickBot="1" x14ac:dyDescent="0.25">
      <c r="B18" s="191" t="s">
        <v>85</v>
      </c>
      <c r="C18" s="189" t="s">
        <v>182</v>
      </c>
      <c r="D18" s="189" t="s">
        <v>183</v>
      </c>
      <c r="E18" s="189" t="s">
        <v>184</v>
      </c>
      <c r="F18" s="189" t="s">
        <v>185</v>
      </c>
      <c r="G18" s="189" t="s">
        <v>186</v>
      </c>
    </row>
    <row r="19" spans="1:18" ht="44.25" customHeight="1" thickBot="1" x14ac:dyDescent="0.25">
      <c r="B19" s="191" t="s">
        <v>162</v>
      </c>
      <c r="C19" s="189" t="s">
        <v>187</v>
      </c>
      <c r="D19" s="189" t="s">
        <v>188</v>
      </c>
      <c r="E19" s="189" t="s">
        <v>189</v>
      </c>
      <c r="F19" s="189" t="s">
        <v>190</v>
      </c>
      <c r="G19" s="189" t="s">
        <v>191</v>
      </c>
    </row>
    <row r="20" spans="1:18" ht="48.75" thickBot="1" x14ac:dyDescent="0.25">
      <c r="B20" s="191" t="s">
        <v>163</v>
      </c>
      <c r="C20" s="189" t="s">
        <v>192</v>
      </c>
      <c r="D20" s="189" t="s">
        <v>193</v>
      </c>
      <c r="E20" s="189" t="s">
        <v>194</v>
      </c>
      <c r="F20" s="189" t="s">
        <v>195</v>
      </c>
      <c r="G20" s="189" t="s">
        <v>196</v>
      </c>
    </row>
    <row r="21" spans="1:18" ht="44.25" customHeight="1" thickBot="1" x14ac:dyDescent="0.25">
      <c r="B21" s="191" t="s">
        <v>197</v>
      </c>
      <c r="C21" s="189" t="s">
        <v>198</v>
      </c>
      <c r="D21" s="420" t="s">
        <v>199</v>
      </c>
      <c r="E21" s="421"/>
      <c r="F21" s="189" t="s">
        <v>200</v>
      </c>
      <c r="G21" s="189" t="s">
        <v>201</v>
      </c>
    </row>
    <row r="22" spans="1:18" x14ac:dyDescent="0.2">
      <c r="B22" s="192"/>
      <c r="C22" s="193"/>
      <c r="D22" s="193"/>
      <c r="E22" s="193"/>
      <c r="F22" s="193"/>
      <c r="G22" s="193"/>
    </row>
    <row r="23" spans="1:18" customFormat="1" ht="15" x14ac:dyDescent="0.25">
      <c r="A23" s="194" t="s">
        <v>202</v>
      </c>
      <c r="C23" s="195"/>
      <c r="D23" s="195"/>
      <c r="E23" s="195"/>
      <c r="F23" s="195"/>
      <c r="G23" s="195"/>
      <c r="H23" s="195"/>
      <c r="I23" s="195"/>
      <c r="J23" s="195"/>
      <c r="K23" s="195"/>
      <c r="L23" s="195"/>
      <c r="M23" s="195"/>
      <c r="N23" s="195"/>
      <c r="O23" s="195"/>
      <c r="P23" s="195"/>
      <c r="Q23" s="195"/>
      <c r="R23" s="195"/>
    </row>
    <row r="24" spans="1:18" customFormat="1" ht="15" x14ac:dyDescent="0.25">
      <c r="B24" s="196" t="s">
        <v>203</v>
      </c>
      <c r="C24" s="197"/>
      <c r="D24" s="197"/>
      <c r="E24" s="197"/>
      <c r="F24" s="197"/>
      <c r="G24" s="197"/>
      <c r="H24" s="198"/>
      <c r="I24" s="195"/>
      <c r="J24" s="195"/>
      <c r="K24" s="195"/>
      <c r="L24" s="195"/>
      <c r="M24" s="195"/>
      <c r="N24" s="195"/>
      <c r="O24" s="195"/>
      <c r="P24" s="195"/>
      <c r="Q24" s="195"/>
      <c r="R24" s="195"/>
    </row>
    <row r="25" spans="1:18" customFormat="1" ht="65.25" customHeight="1" x14ac:dyDescent="0.25">
      <c r="B25" s="199"/>
      <c r="C25" s="408" t="s">
        <v>204</v>
      </c>
      <c r="D25" s="409"/>
      <c r="E25" s="409"/>
      <c r="F25" s="409"/>
      <c r="G25" s="409"/>
      <c r="H25" s="410"/>
      <c r="N25" s="200"/>
      <c r="O25" s="200"/>
      <c r="P25" s="200"/>
      <c r="Q25" s="200"/>
      <c r="R25" s="200"/>
    </row>
    <row r="26" spans="1:18" customFormat="1" ht="15" x14ac:dyDescent="0.25">
      <c r="B26" s="199"/>
      <c r="C26" s="201" t="s">
        <v>205</v>
      </c>
      <c r="D26" s="202"/>
      <c r="E26" s="202"/>
      <c r="F26" s="202"/>
      <c r="G26" s="202"/>
      <c r="H26" s="203"/>
      <c r="I26" s="195"/>
      <c r="J26" s="195"/>
      <c r="K26" s="195"/>
      <c r="L26" s="195"/>
      <c r="M26" s="195"/>
      <c r="N26" s="195"/>
      <c r="O26" s="195"/>
      <c r="P26" s="195"/>
      <c r="Q26" s="195"/>
      <c r="R26" s="195"/>
    </row>
    <row r="27" spans="1:18" customFormat="1" ht="15" x14ac:dyDescent="0.25">
      <c r="B27" s="199"/>
      <c r="C27" s="204" t="s">
        <v>206</v>
      </c>
      <c r="D27" s="205"/>
      <c r="E27" s="205"/>
      <c r="F27" s="205"/>
      <c r="G27" s="205"/>
      <c r="H27" s="206"/>
      <c r="I27" s="195"/>
      <c r="J27" s="195"/>
      <c r="K27" s="195"/>
      <c r="L27" s="195"/>
      <c r="M27" s="195"/>
      <c r="N27" s="195"/>
      <c r="O27" s="195"/>
      <c r="P27" s="195"/>
      <c r="Q27" s="195"/>
      <c r="R27" s="195"/>
    </row>
    <row r="28" spans="1:18" customFormat="1" ht="15" x14ac:dyDescent="0.25">
      <c r="B28" s="199"/>
      <c r="C28" s="204" t="s">
        <v>207</v>
      </c>
      <c r="D28" s="205"/>
      <c r="E28" s="205"/>
      <c r="F28" s="205"/>
      <c r="G28" s="205"/>
      <c r="H28" s="206"/>
      <c r="I28" s="195"/>
      <c r="J28" s="195"/>
      <c r="K28" s="195"/>
      <c r="L28" s="195"/>
      <c r="M28" s="195"/>
      <c r="N28" s="195"/>
      <c r="O28" s="195"/>
      <c r="P28" s="195"/>
      <c r="Q28" s="195"/>
      <c r="R28" s="195"/>
    </row>
    <row r="29" spans="1:18" customFormat="1" ht="15" x14ac:dyDescent="0.25">
      <c r="B29" s="199"/>
      <c r="C29" s="204" t="s">
        <v>208</v>
      </c>
      <c r="D29" s="205"/>
      <c r="E29" s="205"/>
      <c r="F29" s="205"/>
      <c r="G29" s="205"/>
      <c r="H29" s="206"/>
      <c r="I29" s="195"/>
      <c r="J29" s="195"/>
      <c r="K29" s="195"/>
      <c r="L29" s="195"/>
      <c r="M29" s="195"/>
      <c r="N29" s="195"/>
      <c r="O29" s="195"/>
      <c r="P29" s="195"/>
      <c r="Q29" s="195"/>
      <c r="R29" s="195"/>
    </row>
    <row r="30" spans="1:18" customFormat="1" ht="15" x14ac:dyDescent="0.25">
      <c r="B30" s="199"/>
      <c r="C30" s="204" t="s">
        <v>209</v>
      </c>
      <c r="D30" s="205"/>
      <c r="E30" s="205"/>
      <c r="F30" s="205"/>
      <c r="G30" s="205"/>
      <c r="H30" s="206"/>
      <c r="I30" s="195"/>
      <c r="J30" s="195"/>
      <c r="K30" s="195"/>
      <c r="L30" s="195"/>
      <c r="M30" s="195"/>
      <c r="N30" s="195"/>
      <c r="O30" s="195"/>
      <c r="P30" s="195"/>
      <c r="Q30" s="195"/>
      <c r="R30" s="195"/>
    </row>
    <row r="31" spans="1:18" customFormat="1" ht="41.25" customHeight="1" x14ac:dyDescent="0.25">
      <c r="B31" s="199"/>
      <c r="C31" s="427" t="s">
        <v>210</v>
      </c>
      <c r="D31" s="428"/>
      <c r="E31" s="428"/>
      <c r="F31" s="428"/>
      <c r="G31" s="428"/>
      <c r="H31" s="429"/>
      <c r="N31" s="207"/>
      <c r="O31" s="207"/>
      <c r="P31" s="207"/>
      <c r="Q31" s="195"/>
      <c r="R31" s="195"/>
    </row>
    <row r="32" spans="1:18" customFormat="1" ht="38.25" customHeight="1" x14ac:dyDescent="0.25">
      <c r="B32" s="208"/>
      <c r="C32" s="408" t="s">
        <v>211</v>
      </c>
      <c r="D32" s="409"/>
      <c r="E32" s="409"/>
      <c r="F32" s="409"/>
      <c r="G32" s="409"/>
      <c r="H32" s="410"/>
      <c r="N32" s="200"/>
      <c r="O32" s="200"/>
      <c r="P32" s="200"/>
      <c r="Q32" s="200"/>
      <c r="R32" s="195"/>
    </row>
    <row r="33" spans="1:18" customFormat="1" ht="43.5" customHeight="1" x14ac:dyDescent="0.25">
      <c r="B33" s="408" t="s">
        <v>212</v>
      </c>
      <c r="C33" s="409"/>
      <c r="D33" s="409"/>
      <c r="E33" s="409"/>
      <c r="F33" s="409"/>
      <c r="G33" s="409"/>
      <c r="H33" s="410"/>
      <c r="I33" s="195"/>
      <c r="J33" s="195"/>
      <c r="K33" s="195"/>
      <c r="L33" s="195"/>
      <c r="M33" s="195"/>
      <c r="N33" s="195"/>
      <c r="O33" s="195"/>
      <c r="P33" s="195"/>
      <c r="Q33" s="195"/>
      <c r="R33" s="195"/>
    </row>
    <row r="34" spans="1:18" customFormat="1" ht="49.5" customHeight="1" x14ac:dyDescent="0.25">
      <c r="B34" s="408" t="s">
        <v>213</v>
      </c>
      <c r="C34" s="409"/>
      <c r="D34" s="409"/>
      <c r="E34" s="409"/>
      <c r="F34" s="409"/>
      <c r="G34" s="409"/>
      <c r="H34" s="410"/>
      <c r="I34" s="209"/>
    </row>
    <row r="35" spans="1:18" customFormat="1" ht="46.5" customHeight="1" x14ac:dyDescent="0.25">
      <c r="B35" s="408" t="s">
        <v>214</v>
      </c>
      <c r="C35" s="409"/>
      <c r="D35" s="409"/>
      <c r="E35" s="409"/>
      <c r="F35" s="409"/>
      <c r="G35" s="409"/>
      <c r="H35" s="410"/>
      <c r="I35" s="209"/>
    </row>
    <row r="36" spans="1:18" customFormat="1" ht="30" customHeight="1" x14ac:dyDescent="0.25">
      <c r="B36" s="408" t="s">
        <v>215</v>
      </c>
      <c r="C36" s="409"/>
      <c r="D36" s="409"/>
      <c r="E36" s="409"/>
      <c r="F36" s="409"/>
      <c r="G36" s="409"/>
      <c r="H36" s="410"/>
      <c r="I36" s="209"/>
    </row>
    <row r="37" spans="1:18" customFormat="1" ht="15" customHeight="1" x14ac:dyDescent="0.25">
      <c r="A37" s="210" t="s">
        <v>216</v>
      </c>
      <c r="B37" s="210"/>
      <c r="I37" s="211"/>
    </row>
    <row r="38" spans="1:18" customFormat="1" ht="30" customHeight="1" x14ac:dyDescent="0.25">
      <c r="B38" s="431" t="s">
        <v>217</v>
      </c>
      <c r="C38" s="432"/>
      <c r="D38" s="432"/>
      <c r="E38" s="432"/>
      <c r="F38" s="432"/>
      <c r="G38" s="432"/>
      <c r="H38" s="433"/>
    </row>
    <row r="39" spans="1:18" customFormat="1" ht="12.75" customHeight="1" x14ac:dyDescent="0.25">
      <c r="B39" s="434" t="s">
        <v>218</v>
      </c>
      <c r="C39" s="435"/>
      <c r="D39" s="435"/>
      <c r="E39" s="435"/>
      <c r="F39" s="435"/>
      <c r="G39" s="212"/>
      <c r="H39" s="213"/>
    </row>
    <row r="40" spans="1:18" customFormat="1" ht="29.25" customHeight="1" x14ac:dyDescent="0.25">
      <c r="B40" s="436" t="s">
        <v>219</v>
      </c>
      <c r="C40" s="437"/>
      <c r="D40" s="437"/>
      <c r="E40" s="437"/>
      <c r="F40" s="437"/>
      <c r="G40" s="437"/>
      <c r="H40" s="438"/>
    </row>
    <row r="41" spans="1:18" customFormat="1" ht="15" customHeight="1" x14ac:dyDescent="0.25">
      <c r="B41" s="214" t="s">
        <v>220</v>
      </c>
      <c r="C41" s="212"/>
      <c r="D41" s="212"/>
      <c r="E41" s="212"/>
      <c r="F41" s="212"/>
      <c r="G41" s="212"/>
      <c r="H41" s="213"/>
    </row>
    <row r="42" spans="1:18" customFormat="1" ht="30.75" customHeight="1" x14ac:dyDescent="0.25">
      <c r="B42" s="436" t="s">
        <v>221</v>
      </c>
      <c r="C42" s="437"/>
      <c r="D42" s="437"/>
      <c r="E42" s="437"/>
      <c r="F42" s="437"/>
      <c r="G42" s="437"/>
      <c r="H42" s="438"/>
    </row>
    <row r="43" spans="1:18" customFormat="1" ht="12.75" customHeight="1" x14ac:dyDescent="0.25">
      <c r="B43" s="439" t="s">
        <v>222</v>
      </c>
      <c r="C43" s="440"/>
      <c r="D43" s="440"/>
      <c r="E43" s="440"/>
      <c r="F43" s="440"/>
      <c r="G43" s="440"/>
      <c r="H43" s="213"/>
    </row>
    <row r="44" spans="1:18" customFormat="1" ht="35.25" customHeight="1" x14ac:dyDescent="0.25">
      <c r="B44" s="436" t="s">
        <v>223</v>
      </c>
      <c r="C44" s="437"/>
      <c r="D44" s="437"/>
      <c r="E44" s="437"/>
      <c r="F44" s="437"/>
      <c r="G44" s="437"/>
      <c r="H44" s="438"/>
    </row>
    <row r="45" spans="1:18" customFormat="1" ht="24.75" customHeight="1" x14ac:dyDescent="0.25">
      <c r="B45" s="441" t="s">
        <v>224</v>
      </c>
      <c r="C45" s="442"/>
      <c r="D45" s="442"/>
      <c r="E45" s="442"/>
      <c r="F45" s="442"/>
      <c r="G45" s="442"/>
      <c r="H45" s="443"/>
    </row>
    <row r="46" spans="1:18" customFormat="1" ht="27.75" customHeight="1" x14ac:dyDescent="0.25">
      <c r="B46" s="427" t="s">
        <v>225</v>
      </c>
      <c r="C46" s="428"/>
      <c r="D46" s="428"/>
      <c r="E46" s="428"/>
      <c r="F46" s="428"/>
      <c r="G46" s="428"/>
      <c r="H46" s="429"/>
    </row>
    <row r="47" spans="1:18" customFormat="1" ht="21" customHeight="1" x14ac:dyDescent="0.25">
      <c r="B47" s="408" t="s">
        <v>226</v>
      </c>
      <c r="C47" s="409"/>
      <c r="D47" s="409"/>
      <c r="E47" s="409"/>
      <c r="F47" s="409"/>
      <c r="G47" s="409"/>
      <c r="H47" s="410"/>
    </row>
    <row r="48" spans="1:18" customFormat="1" ht="26.25" customHeight="1" x14ac:dyDescent="0.25">
      <c r="B48" s="430" t="s">
        <v>227</v>
      </c>
      <c r="C48" s="430"/>
      <c r="D48" s="430"/>
      <c r="E48" s="430"/>
      <c r="F48" s="430"/>
      <c r="G48" s="430"/>
      <c r="H48" s="430"/>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J4:K7">
    <cfRule type="expression" dxfId="2" priority="5">
      <formula>MAX(D4:H4)&gt;=5</formula>
    </cfRule>
  </conditionalFormatting>
  <conditionalFormatting sqref="J8:K8">
    <cfRule type="expression" dxfId="1" priority="3">
      <formula>MAX(D8:H8)&gt;=5</formula>
    </cfRule>
  </conditionalFormatting>
  <conditionalFormatting sqref="I9">
    <cfRule type="expression" dxfId="0" priority="1">
      <formula>MAX($D$4:$H$8)&gt;=5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zoomScale="80" zoomScaleNormal="80" workbookViewId="0">
      <selection activeCell="B47" sqref="B47"/>
    </sheetView>
  </sheetViews>
  <sheetFormatPr defaultRowHeight="15" x14ac:dyDescent="0.25"/>
  <cols>
    <col min="1" max="1" width="13.42578125" customWidth="1"/>
    <col min="2" max="2" width="17.85546875" customWidth="1"/>
    <col min="3" max="3" width="10.140625" customWidth="1"/>
    <col min="10" max="10" width="10.42578125" customWidth="1"/>
    <col min="13" max="13" width="12.42578125" customWidth="1"/>
  </cols>
  <sheetData>
    <row r="1" spans="1:25" ht="20.25" x14ac:dyDescent="0.3">
      <c r="B1" s="11"/>
      <c r="C1" s="11"/>
      <c r="D1" s="11"/>
      <c r="E1" s="11"/>
      <c r="F1" s="11"/>
      <c r="G1" s="11"/>
      <c r="H1" s="11"/>
      <c r="I1" s="11"/>
      <c r="J1" s="235" t="s">
        <v>19</v>
      </c>
      <c r="K1" s="215"/>
      <c r="L1" s="11"/>
      <c r="M1" s="11"/>
      <c r="N1" s="11"/>
    </row>
    <row r="2" spans="1:25" ht="20.25" x14ac:dyDescent="0.3">
      <c r="A2" s="238" t="s">
        <v>19</v>
      </c>
      <c r="C2" s="11"/>
      <c r="D2" s="11"/>
      <c r="E2" s="11"/>
      <c r="F2" s="11"/>
      <c r="G2" s="11"/>
      <c r="H2" s="11"/>
      <c r="I2" s="11"/>
      <c r="J2" s="235"/>
      <c r="K2" s="215"/>
      <c r="L2" s="11"/>
      <c r="M2" s="11"/>
      <c r="N2" s="11"/>
    </row>
    <row r="3" spans="1:25" ht="18" x14ac:dyDescent="0.25">
      <c r="A3" s="244" t="s">
        <v>228</v>
      </c>
      <c r="B3" s="212"/>
      <c r="C3" s="212"/>
      <c r="D3" s="212"/>
      <c r="E3" s="245"/>
      <c r="F3" s="245"/>
      <c r="G3" s="245"/>
      <c r="H3" s="239"/>
      <c r="I3" s="239"/>
      <c r="J3" s="240"/>
      <c r="K3" s="238" t="s">
        <v>64</v>
      </c>
      <c r="L3" s="216"/>
      <c r="M3" s="216"/>
      <c r="N3" s="216"/>
      <c r="O3" s="212"/>
      <c r="P3" s="212"/>
      <c r="Q3" s="212"/>
      <c r="R3" s="212"/>
      <c r="S3" s="212"/>
      <c r="T3" s="212"/>
      <c r="U3" s="212"/>
      <c r="V3" s="212"/>
      <c r="W3" s="212"/>
      <c r="X3" s="212"/>
    </row>
    <row r="4" spans="1:25" s="262" customFormat="1" ht="18" x14ac:dyDescent="0.25">
      <c r="A4" s="327"/>
      <c r="B4" s="326"/>
      <c r="C4" s="326"/>
      <c r="D4" s="326"/>
      <c r="E4" s="326"/>
      <c r="F4" s="271"/>
      <c r="G4" s="271"/>
      <c r="H4" s="269"/>
      <c r="I4" s="269"/>
      <c r="J4" s="272"/>
      <c r="K4" s="273"/>
      <c r="L4" s="255"/>
      <c r="M4" s="255"/>
      <c r="N4" s="255"/>
      <c r="O4" s="274"/>
      <c r="P4" s="274"/>
      <c r="Q4" s="274"/>
      <c r="R4" s="274"/>
      <c r="S4" s="274"/>
      <c r="T4" s="274"/>
      <c r="U4" s="274"/>
      <c r="V4" s="274"/>
      <c r="W4" s="274"/>
      <c r="X4" s="274"/>
    </row>
    <row r="5" spans="1:25" s="262" customFormat="1" ht="18.75" x14ac:dyDescent="0.25">
      <c r="A5" s="295" t="s">
        <v>425</v>
      </c>
      <c r="B5" s="261"/>
      <c r="C5" s="261"/>
      <c r="D5" s="261"/>
      <c r="E5" s="271"/>
      <c r="F5" s="271"/>
      <c r="G5" s="271"/>
      <c r="H5" s="269"/>
      <c r="I5" s="269"/>
      <c r="J5" s="272"/>
      <c r="K5" s="234" t="s">
        <v>236</v>
      </c>
      <c r="L5" s="255"/>
      <c r="M5" s="255"/>
      <c r="N5" s="255"/>
      <c r="O5" s="274"/>
      <c r="P5" s="274"/>
      <c r="Q5" s="274"/>
      <c r="R5" s="274"/>
      <c r="S5" s="274"/>
      <c r="T5" s="274"/>
      <c r="U5" s="274"/>
      <c r="V5" s="274"/>
      <c r="W5" s="274"/>
      <c r="X5" s="274"/>
    </row>
    <row r="6" spans="1:25" s="262" customFormat="1" ht="15.75" x14ac:dyDescent="0.25">
      <c r="A6" s="295" t="s">
        <v>500</v>
      </c>
      <c r="B6" s="261"/>
      <c r="C6" s="261"/>
      <c r="D6" s="261"/>
      <c r="E6" s="271"/>
      <c r="F6" s="271"/>
      <c r="G6" s="271"/>
      <c r="H6" s="269"/>
      <c r="I6" s="269"/>
      <c r="J6" s="272"/>
      <c r="K6" s="234"/>
      <c r="L6" s="255"/>
      <c r="M6" s="255"/>
      <c r="N6" s="255"/>
      <c r="O6" s="274"/>
      <c r="P6" s="274"/>
      <c r="Q6" s="274"/>
      <c r="R6" s="274"/>
      <c r="S6" s="274"/>
      <c r="T6" s="274"/>
      <c r="U6" s="274"/>
      <c r="V6" s="274"/>
      <c r="W6" s="274"/>
      <c r="X6" s="274"/>
    </row>
    <row r="7" spans="1:25" s="262" customFormat="1" ht="15.75" x14ac:dyDescent="0.25">
      <c r="A7" s="295" t="s">
        <v>501</v>
      </c>
      <c r="B7" s="261"/>
      <c r="C7" s="261"/>
      <c r="D7" s="261"/>
      <c r="E7" s="271"/>
      <c r="F7" s="271"/>
      <c r="G7" s="271"/>
      <c r="H7" s="269"/>
      <c r="I7" s="269"/>
      <c r="J7" s="272"/>
      <c r="K7" s="234"/>
      <c r="L7" s="255"/>
      <c r="M7" s="255"/>
      <c r="N7" s="255"/>
      <c r="O7" s="274"/>
      <c r="P7" s="274"/>
      <c r="Q7" s="274"/>
      <c r="R7" s="274"/>
      <c r="S7" s="274"/>
      <c r="T7" s="274"/>
      <c r="U7" s="274"/>
      <c r="V7" s="274"/>
      <c r="W7" s="274"/>
      <c r="X7" s="274"/>
    </row>
    <row r="8" spans="1:25" s="262" customFormat="1" ht="15.75" x14ac:dyDescent="0.25">
      <c r="A8" s="295" t="s">
        <v>502</v>
      </c>
      <c r="B8" s="261"/>
      <c r="C8" s="261"/>
      <c r="D8" s="261"/>
      <c r="E8" s="271"/>
      <c r="F8" s="271"/>
      <c r="G8" s="271"/>
      <c r="H8" s="269"/>
      <c r="I8" s="269"/>
      <c r="J8" s="272"/>
      <c r="K8" s="234"/>
      <c r="L8" s="255"/>
      <c r="M8" s="255"/>
      <c r="N8" s="255"/>
      <c r="O8" s="274"/>
      <c r="P8" s="274"/>
      <c r="Q8" s="274"/>
      <c r="R8" s="274"/>
      <c r="S8" s="274"/>
      <c r="T8" s="274"/>
      <c r="U8" s="274"/>
      <c r="V8" s="274"/>
      <c r="W8" s="274"/>
      <c r="X8" s="274"/>
    </row>
    <row r="9" spans="1:25" s="262" customFormat="1" ht="15.75" x14ac:dyDescent="0.25">
      <c r="A9" s="295"/>
      <c r="B9" s="261"/>
      <c r="C9" s="261"/>
      <c r="D9" s="261"/>
      <c r="E9" s="271"/>
      <c r="F9" s="271"/>
      <c r="G9" s="271"/>
      <c r="H9" s="269"/>
      <c r="I9" s="269"/>
      <c r="J9" s="272"/>
      <c r="K9" s="234"/>
      <c r="L9" s="255"/>
      <c r="M9" s="255"/>
      <c r="N9" s="255"/>
      <c r="O9" s="274"/>
      <c r="P9" s="274"/>
      <c r="Q9" s="274"/>
      <c r="R9" s="274"/>
      <c r="S9" s="274"/>
      <c r="T9" s="274"/>
      <c r="U9" s="274"/>
      <c r="V9" s="274"/>
      <c r="W9" s="274"/>
      <c r="X9" s="274"/>
    </row>
    <row r="10" spans="1:25" s="262" customFormat="1" ht="15.75" x14ac:dyDescent="0.25">
      <c r="A10" s="295"/>
      <c r="B10" s="261"/>
      <c r="C10" s="261"/>
      <c r="D10" s="261"/>
      <c r="E10" s="271"/>
      <c r="F10" s="271"/>
      <c r="G10" s="271"/>
      <c r="H10" s="269"/>
      <c r="I10" s="269"/>
      <c r="J10" s="272"/>
      <c r="K10" s="234"/>
      <c r="L10" s="255"/>
      <c r="M10" s="255"/>
      <c r="N10" s="255"/>
      <c r="O10" s="274"/>
      <c r="P10" s="274"/>
      <c r="Q10" s="274"/>
      <c r="R10" s="274"/>
      <c r="S10" s="274"/>
      <c r="T10" s="274"/>
      <c r="U10" s="274"/>
      <c r="V10" s="274"/>
      <c r="W10" s="274"/>
      <c r="X10" s="274"/>
    </row>
    <row r="11" spans="1:25" s="262" customFormat="1" ht="18" x14ac:dyDescent="0.25">
      <c r="A11" s="263" t="s">
        <v>400</v>
      </c>
      <c r="B11" s="261"/>
      <c r="C11" s="261"/>
      <c r="D11" s="261"/>
      <c r="E11" s="271"/>
      <c r="F11" s="271"/>
      <c r="G11" s="271"/>
      <c r="H11" s="269"/>
      <c r="I11" s="269"/>
      <c r="J11" s="272"/>
      <c r="K11" s="273"/>
      <c r="L11" s="255"/>
      <c r="M11" s="255"/>
      <c r="N11" s="255"/>
      <c r="O11" s="274"/>
      <c r="P11" s="274"/>
      <c r="Q11" s="274"/>
      <c r="R11" s="274"/>
      <c r="S11" s="274"/>
      <c r="T11" s="274"/>
      <c r="U11" s="274"/>
      <c r="V11" s="274"/>
      <c r="W11" s="274"/>
      <c r="X11" s="274"/>
    </row>
    <row r="12" spans="1:25" ht="39" x14ac:dyDescent="0.25">
      <c r="A12" s="266" t="s">
        <v>389</v>
      </c>
      <c r="B12" s="266" t="s">
        <v>394</v>
      </c>
      <c r="C12" s="267" t="s">
        <v>393</v>
      </c>
      <c r="D12" s="267" t="s">
        <v>405</v>
      </c>
      <c r="E12" s="266" t="s">
        <v>391</v>
      </c>
      <c r="F12" s="267" t="s">
        <v>393</v>
      </c>
      <c r="G12" s="267" t="s">
        <v>404</v>
      </c>
      <c r="H12" s="308" t="s">
        <v>482</v>
      </c>
      <c r="I12" s="308" t="s">
        <v>483</v>
      </c>
      <c r="J12" s="237"/>
      <c r="K12" s="234"/>
      <c r="L12" s="218"/>
      <c r="M12" s="218"/>
      <c r="N12" s="218"/>
      <c r="O12" s="218"/>
      <c r="P12" s="218"/>
      <c r="Q12" s="218"/>
      <c r="R12" s="218"/>
    </row>
    <row r="13" spans="1:25" x14ac:dyDescent="0.25">
      <c r="A13" s="234" t="s">
        <v>373</v>
      </c>
      <c r="B13" s="234" t="s">
        <v>258</v>
      </c>
      <c r="C13" s="234">
        <v>140.11600000000001</v>
      </c>
      <c r="D13" s="300">
        <f>C13*Conversions!$D$6</f>
        <v>0.14011600000000002</v>
      </c>
      <c r="E13" s="218" t="s">
        <v>274</v>
      </c>
      <c r="F13" s="234">
        <f>(C13)+(2*15.999)</f>
        <v>172.114</v>
      </c>
      <c r="G13" s="249">
        <f>F13*Conversions!$D$6</f>
        <v>0.17211400000000002</v>
      </c>
      <c r="H13" s="300">
        <v>1</v>
      </c>
      <c r="I13" s="300">
        <v>2</v>
      </c>
      <c r="J13" s="237">
        <f>2*I13/H13*G34</f>
        <v>9.1995999999999994E-2</v>
      </c>
    </row>
    <row r="14" spans="1:25" x14ac:dyDescent="0.25">
      <c r="A14" s="234" t="s">
        <v>374</v>
      </c>
      <c r="B14" s="234" t="s">
        <v>257</v>
      </c>
      <c r="C14" s="234">
        <v>138.90547000000001</v>
      </c>
      <c r="D14" s="300">
        <f>C14*Conversions!$D$6</f>
        <v>0.13890547</v>
      </c>
      <c r="E14" s="218" t="s">
        <v>275</v>
      </c>
      <c r="F14" s="234">
        <f>(C14*2)+(3*15.999)</f>
        <v>325.80794000000003</v>
      </c>
      <c r="G14" s="249">
        <f>F14*Conversions!$D$6</f>
        <v>0.32580794000000002</v>
      </c>
      <c r="H14" s="300">
        <v>2</v>
      </c>
      <c r="I14" s="300">
        <v>3</v>
      </c>
      <c r="J14" s="237"/>
      <c r="K14" s="234">
        <f>K13/G13</f>
        <v>0</v>
      </c>
      <c r="X14">
        <v>1.23</v>
      </c>
      <c r="Y14" t="s">
        <v>540</v>
      </c>
    </row>
    <row r="15" spans="1:25" x14ac:dyDescent="0.25">
      <c r="A15" s="234" t="s">
        <v>387</v>
      </c>
      <c r="B15" s="234" t="s">
        <v>255</v>
      </c>
      <c r="C15" s="234">
        <v>140.90764999999999</v>
      </c>
      <c r="D15" s="300">
        <f>C15*Conversions!$D$6</f>
        <v>0.14090765</v>
      </c>
      <c r="E15" s="218" t="s">
        <v>252</v>
      </c>
      <c r="F15" s="234">
        <f>(C15*6)+(11*15.999)</f>
        <v>1021.4349</v>
      </c>
      <c r="G15" s="249">
        <f>F15*Conversions!$D$6</f>
        <v>1.0214349</v>
      </c>
      <c r="H15" s="300">
        <v>6</v>
      </c>
      <c r="I15" s="300">
        <v>11</v>
      </c>
      <c r="J15" s="237"/>
      <c r="K15" s="234"/>
      <c r="X15">
        <f>X14/G20</f>
        <v>1.6450571249430246</v>
      </c>
      <c r="Y15" t="s">
        <v>541</v>
      </c>
    </row>
    <row r="16" spans="1:25" x14ac:dyDescent="0.25">
      <c r="A16" s="258" t="s">
        <v>375</v>
      </c>
      <c r="B16" s="234" t="s">
        <v>256</v>
      </c>
      <c r="C16" s="234">
        <v>144.24199999999999</v>
      </c>
      <c r="D16" s="300">
        <f>C16*Conversions!$D$6</f>
        <v>0.14424199999999998</v>
      </c>
      <c r="E16" s="218" t="s">
        <v>253</v>
      </c>
      <c r="F16" s="234">
        <f>(C16*2)+(3*15.999)</f>
        <v>336.48099999999999</v>
      </c>
      <c r="G16" s="249">
        <f>F16*Conversions!$D$6</f>
        <v>0.33648099999999997</v>
      </c>
      <c r="H16" s="300">
        <v>2</v>
      </c>
      <c r="I16" s="300">
        <v>3</v>
      </c>
      <c r="J16" s="237"/>
      <c r="K16" s="234"/>
      <c r="X16">
        <f>X15*D20*H20</f>
        <v>1.0457651174062559</v>
      </c>
      <c r="Y16" t="s">
        <v>540</v>
      </c>
    </row>
    <row r="17" spans="1:13" x14ac:dyDescent="0.25">
      <c r="A17" s="258" t="s">
        <v>376</v>
      </c>
      <c r="B17" s="234" t="s">
        <v>259</v>
      </c>
      <c r="C17" s="234">
        <v>150.36000000000001</v>
      </c>
      <c r="D17" s="300">
        <f>C17*Conversions!$D$6</f>
        <v>0.15036000000000002</v>
      </c>
      <c r="E17" s="218" t="s">
        <v>276</v>
      </c>
      <c r="F17" s="234">
        <f>(C17*2)+(3*15.999)</f>
        <v>348.71700000000004</v>
      </c>
      <c r="G17" s="249">
        <f>F17*Conversions!$D$6</f>
        <v>0.34871700000000005</v>
      </c>
      <c r="H17" s="300">
        <v>2</v>
      </c>
      <c r="I17" s="300">
        <v>3</v>
      </c>
      <c r="J17" s="237"/>
      <c r="K17" s="234"/>
    </row>
    <row r="18" spans="1:13" x14ac:dyDescent="0.25">
      <c r="A18" s="258" t="s">
        <v>377</v>
      </c>
      <c r="B18" s="234" t="s">
        <v>260</v>
      </c>
      <c r="C18" s="234">
        <v>151.964</v>
      </c>
      <c r="D18" s="300">
        <f>C18*Conversions!$D$6</f>
        <v>0.15196399999999999</v>
      </c>
      <c r="E18" s="218" t="s">
        <v>277</v>
      </c>
      <c r="F18" s="234">
        <f>(C18*2)+(3*15.999)</f>
        <v>351.92500000000001</v>
      </c>
      <c r="G18" s="249">
        <f>F18*Conversions!$D$6</f>
        <v>0.35192500000000004</v>
      </c>
      <c r="H18" s="300">
        <v>2</v>
      </c>
      <c r="I18" s="300">
        <v>3</v>
      </c>
      <c r="J18" s="237"/>
      <c r="K18" s="234"/>
    </row>
    <row r="19" spans="1:13" x14ac:dyDescent="0.25">
      <c r="A19" s="258" t="s">
        <v>378</v>
      </c>
      <c r="B19" s="234" t="s">
        <v>261</v>
      </c>
      <c r="C19" s="234">
        <v>157.25</v>
      </c>
      <c r="D19" s="300">
        <f>C19*Conversions!$D$6</f>
        <v>0.15725</v>
      </c>
      <c r="E19" s="218" t="s">
        <v>278</v>
      </c>
      <c r="F19" s="234">
        <f>(C19*2)+(3*15.999)</f>
        <v>362.49700000000001</v>
      </c>
      <c r="G19" s="249">
        <f>F19*Conversions!$D$6</f>
        <v>0.36249700000000001</v>
      </c>
      <c r="H19" s="300">
        <v>2</v>
      </c>
      <c r="I19" s="300">
        <v>3</v>
      </c>
      <c r="J19" s="237"/>
      <c r="K19" s="234"/>
    </row>
    <row r="20" spans="1:13" x14ac:dyDescent="0.25">
      <c r="A20" s="258" t="s">
        <v>379</v>
      </c>
      <c r="B20" s="234" t="s">
        <v>262</v>
      </c>
      <c r="C20" s="234">
        <v>158.92535000000001</v>
      </c>
      <c r="D20" s="300">
        <f>C20*Conversions!$D$6</f>
        <v>0.15892535000000002</v>
      </c>
      <c r="E20" s="218" t="s">
        <v>279</v>
      </c>
      <c r="F20" s="234">
        <f>(C20*4)+(7*15.999)</f>
        <v>747.69440000000009</v>
      </c>
      <c r="G20" s="249">
        <f>F20*Conversions!$D$6</f>
        <v>0.74769440000000009</v>
      </c>
      <c r="H20" s="300">
        <v>4</v>
      </c>
      <c r="I20" s="300">
        <v>7</v>
      </c>
      <c r="J20" s="237"/>
      <c r="K20" s="234"/>
    </row>
    <row r="21" spans="1:13" x14ac:dyDescent="0.25">
      <c r="A21" s="258" t="s">
        <v>380</v>
      </c>
      <c r="B21" s="234" t="s">
        <v>263</v>
      </c>
      <c r="C21" s="234">
        <v>162.5</v>
      </c>
      <c r="D21" s="300">
        <f>C21*Conversions!$D$6</f>
        <v>0.16250000000000001</v>
      </c>
      <c r="E21" s="218" t="s">
        <v>280</v>
      </c>
      <c r="F21" s="234">
        <f t="shared" ref="F21:F27" si="0">(C21*2)+(3*15.999)</f>
        <v>372.99700000000001</v>
      </c>
      <c r="G21" s="249">
        <f>F21*Conversions!$D$6</f>
        <v>0.37299700000000002</v>
      </c>
      <c r="H21" s="300">
        <v>2</v>
      </c>
      <c r="I21" s="300">
        <v>3</v>
      </c>
      <c r="J21" s="237"/>
      <c r="K21" s="234"/>
    </row>
    <row r="22" spans="1:13" x14ac:dyDescent="0.25">
      <c r="A22" s="258" t="s">
        <v>384</v>
      </c>
      <c r="B22" s="234" t="s">
        <v>269</v>
      </c>
      <c r="C22" s="234">
        <v>88.905850000000001</v>
      </c>
      <c r="D22" s="300">
        <f>C22*Conversions!$D$6</f>
        <v>8.8905850000000008E-2</v>
      </c>
      <c r="E22" s="218" t="s">
        <v>286</v>
      </c>
      <c r="F22" s="234">
        <f t="shared" si="0"/>
        <v>225.80869999999999</v>
      </c>
      <c r="G22" s="249">
        <f>F22*Conversions!$D$6</f>
        <v>0.2258087</v>
      </c>
      <c r="H22" s="300">
        <v>2</v>
      </c>
      <c r="I22" s="300">
        <v>3</v>
      </c>
      <c r="J22" s="237"/>
    </row>
    <row r="23" spans="1:13" x14ac:dyDescent="0.25">
      <c r="A23" s="258" t="s">
        <v>382</v>
      </c>
      <c r="B23" s="234" t="s">
        <v>265</v>
      </c>
      <c r="C23" s="234">
        <v>167.25899999999999</v>
      </c>
      <c r="D23" s="300">
        <f>C23*Conversions!$D$6</f>
        <v>0.16725899999999999</v>
      </c>
      <c r="E23" s="218" t="s">
        <v>282</v>
      </c>
      <c r="F23" s="234">
        <f t="shared" si="0"/>
        <v>382.51499999999999</v>
      </c>
      <c r="G23" s="249">
        <f>F23*Conversions!$D$6</f>
        <v>0.38251499999999999</v>
      </c>
      <c r="H23" s="300">
        <v>2</v>
      </c>
      <c r="I23" s="300">
        <v>3</v>
      </c>
      <c r="J23" s="237"/>
      <c r="K23" s="234"/>
    </row>
    <row r="24" spans="1:13" x14ac:dyDescent="0.25">
      <c r="A24" s="258" t="s">
        <v>385</v>
      </c>
      <c r="B24" s="234" t="s">
        <v>267</v>
      </c>
      <c r="C24" s="234">
        <v>173.04</v>
      </c>
      <c r="D24" s="300">
        <f>C24*Conversions!$D$6</f>
        <v>0.17304</v>
      </c>
      <c r="E24" s="218" t="s">
        <v>284</v>
      </c>
      <c r="F24" s="234">
        <f t="shared" si="0"/>
        <v>394.077</v>
      </c>
      <c r="G24" s="249">
        <f>F24*Conversions!$D$6</f>
        <v>0.39407700000000001</v>
      </c>
      <c r="H24" s="300">
        <v>2</v>
      </c>
      <c r="I24" s="300">
        <v>3</v>
      </c>
      <c r="J24" s="237"/>
      <c r="K24" s="234"/>
    </row>
    <row r="25" spans="1:13" x14ac:dyDescent="0.25">
      <c r="A25" s="265" t="s">
        <v>381</v>
      </c>
      <c r="B25" s="261" t="s">
        <v>264</v>
      </c>
      <c r="C25">
        <v>164.93031999999999</v>
      </c>
      <c r="D25" s="300">
        <f>C25*Conversions!$D$6</f>
        <v>0.16493031999999999</v>
      </c>
      <c r="E25" s="218" t="s">
        <v>281</v>
      </c>
      <c r="F25">
        <f t="shared" si="0"/>
        <v>377.85764</v>
      </c>
      <c r="G25" s="249">
        <f>F25*Conversions!$D$6</f>
        <v>0.37785763999999999</v>
      </c>
      <c r="H25" s="300">
        <v>2</v>
      </c>
      <c r="I25" s="300">
        <v>3</v>
      </c>
      <c r="J25" s="237"/>
      <c r="K25" s="234"/>
    </row>
    <row r="26" spans="1:13" x14ac:dyDescent="0.25">
      <c r="A26" s="258" t="s">
        <v>386</v>
      </c>
      <c r="B26" s="234" t="s">
        <v>268</v>
      </c>
      <c r="C26">
        <v>174.96700000000001</v>
      </c>
      <c r="D26" s="300">
        <f>C26*Conversions!$D$6</f>
        <v>0.17496700000000001</v>
      </c>
      <c r="E26" s="218" t="s">
        <v>285</v>
      </c>
      <c r="F26" s="234">
        <f t="shared" si="0"/>
        <v>397.93100000000004</v>
      </c>
      <c r="G26" s="249">
        <f>F26*Conversions!$D$6</f>
        <v>0.39793100000000003</v>
      </c>
      <c r="H26" s="300">
        <v>2</v>
      </c>
      <c r="I26" s="300">
        <v>3</v>
      </c>
      <c r="J26" s="237"/>
      <c r="K26" s="234"/>
    </row>
    <row r="27" spans="1:13" x14ac:dyDescent="0.25">
      <c r="A27" s="265" t="s">
        <v>383</v>
      </c>
      <c r="B27" s="261" t="s">
        <v>266</v>
      </c>
      <c r="C27">
        <v>168.93421000000001</v>
      </c>
      <c r="D27" s="300">
        <f>C27*Conversions!$D$6</f>
        <v>0.16893421</v>
      </c>
      <c r="E27" s="218" t="s">
        <v>283</v>
      </c>
      <c r="F27">
        <f t="shared" si="0"/>
        <v>385.86542000000003</v>
      </c>
      <c r="G27" s="249">
        <f>F27*Conversions!$D$6</f>
        <v>0.38586542000000001</v>
      </c>
      <c r="H27" s="300">
        <v>2</v>
      </c>
      <c r="I27" s="300">
        <v>3</v>
      </c>
      <c r="J27" s="237"/>
    </row>
    <row r="28" spans="1:13" x14ac:dyDescent="0.25">
      <c r="A28" s="258"/>
      <c r="B28" s="234"/>
      <c r="C28" s="234"/>
      <c r="D28" s="234"/>
      <c r="E28" s="218"/>
      <c r="F28" s="234"/>
      <c r="I28" s="218"/>
      <c r="J28" s="237"/>
    </row>
    <row r="29" spans="1:13" x14ac:dyDescent="0.25">
      <c r="A29" s="265"/>
      <c r="B29" s="261"/>
      <c r="C29" s="262"/>
      <c r="D29" s="262"/>
      <c r="E29" s="263"/>
      <c r="F29" s="262"/>
      <c r="I29" s="218"/>
      <c r="J29" s="237"/>
    </row>
    <row r="30" spans="1:13" x14ac:dyDescent="0.25">
      <c r="A30" s="234"/>
      <c r="B30" s="234"/>
      <c r="C30" s="246"/>
      <c r="D30" s="246"/>
      <c r="E30" s="261"/>
      <c r="F30" s="246"/>
      <c r="H30" s="262"/>
      <c r="I30" s="263"/>
      <c r="J30" s="296"/>
    </row>
    <row r="31" spans="1:13" x14ac:dyDescent="0.25">
      <c r="A31" s="234" t="s">
        <v>396</v>
      </c>
      <c r="B31" s="218" t="s">
        <v>397</v>
      </c>
      <c r="C31" s="261">
        <v>40.078000000000003</v>
      </c>
      <c r="D31" s="261"/>
      <c r="F31" s="261"/>
      <c r="G31" s="261">
        <f>C31*Conversions!$D$6</f>
        <v>4.0078000000000003E-2</v>
      </c>
      <c r="H31" s="262"/>
      <c r="I31" s="262"/>
      <c r="J31" s="297"/>
      <c r="M31" s="309"/>
    </row>
    <row r="32" spans="1:13" x14ac:dyDescent="0.25">
      <c r="A32" s="258" t="s">
        <v>398</v>
      </c>
      <c r="B32" s="218" t="s">
        <v>399</v>
      </c>
      <c r="C32" s="263">
        <v>18.998000000000001</v>
      </c>
      <c r="D32" s="263"/>
      <c r="F32" s="261"/>
      <c r="G32" s="261">
        <f>C32*Conversions!$D$6</f>
        <v>1.8998000000000001E-2</v>
      </c>
      <c r="J32" s="236"/>
    </row>
    <row r="33" spans="1:20" x14ac:dyDescent="0.25">
      <c r="A33" s="258" t="s">
        <v>402</v>
      </c>
      <c r="B33" s="218" t="s">
        <v>403</v>
      </c>
      <c r="C33" s="263">
        <v>1</v>
      </c>
      <c r="D33" s="263"/>
      <c r="F33" s="263"/>
      <c r="G33" s="261">
        <f>C33*Conversions!$D$6</f>
        <v>1E-3</v>
      </c>
      <c r="J33" s="270"/>
      <c r="K33" s="199"/>
      <c r="L33" s="270"/>
    </row>
    <row r="34" spans="1:20" x14ac:dyDescent="0.25">
      <c r="A34" s="265" t="s">
        <v>406</v>
      </c>
      <c r="B34" s="218" t="s">
        <v>407</v>
      </c>
      <c r="C34" s="263">
        <v>22.998999999999999</v>
      </c>
      <c r="D34" s="263"/>
      <c r="E34" s="262"/>
      <c r="F34" s="262"/>
      <c r="G34" s="261">
        <f>C34*Conversions!$D$6</f>
        <v>2.2998999999999999E-2</v>
      </c>
      <c r="J34" s="270"/>
      <c r="K34" s="199" t="s">
        <v>401</v>
      </c>
      <c r="L34" s="270"/>
    </row>
    <row r="35" spans="1:20" x14ac:dyDescent="0.25">
      <c r="A35" s="275" t="s">
        <v>426</v>
      </c>
      <c r="B35" s="218" t="s">
        <v>427</v>
      </c>
      <c r="C35" s="263">
        <v>35.453000000000003</v>
      </c>
      <c r="D35" s="263"/>
      <c r="E35" s="262"/>
      <c r="G35" s="261">
        <f>C35*Conversions!$D$6</f>
        <v>3.5453000000000005E-2</v>
      </c>
      <c r="J35" s="270"/>
      <c r="K35" s="199"/>
      <c r="L35" s="270"/>
    </row>
    <row r="36" spans="1:20" ht="18" x14ac:dyDescent="0.35">
      <c r="A36" s="258" t="s">
        <v>460</v>
      </c>
      <c r="B36" s="218" t="s">
        <v>459</v>
      </c>
      <c r="C36" s="263">
        <v>15.999000000000001</v>
      </c>
      <c r="D36" s="262"/>
      <c r="E36" s="262"/>
      <c r="G36" s="261">
        <f>C36*Conversions!$D$6</f>
        <v>1.5998999999999999E-2</v>
      </c>
      <c r="I36" t="s">
        <v>428</v>
      </c>
      <c r="J36" s="278">
        <f>G31+2*G35</f>
        <v>0.11098400000000001</v>
      </c>
      <c r="K36" s="199"/>
      <c r="L36" s="270"/>
    </row>
    <row r="37" spans="1:20" x14ac:dyDescent="0.25">
      <c r="A37" s="281"/>
      <c r="C37" s="262"/>
      <c r="D37" s="262"/>
      <c r="E37" s="262"/>
      <c r="I37" t="s">
        <v>458</v>
      </c>
      <c r="J37" s="249">
        <f>G31+G36</f>
        <v>5.6077000000000002E-2</v>
      </c>
      <c r="K37" s="199"/>
      <c r="L37" s="270"/>
    </row>
    <row r="38" spans="1:20" x14ac:dyDescent="0.25">
      <c r="A38" s="258" t="s">
        <v>408</v>
      </c>
      <c r="B38" s="264">
        <v>0.7</v>
      </c>
      <c r="C38" s="262"/>
      <c r="D38" s="262"/>
      <c r="E38" s="262"/>
      <c r="I38" t="s">
        <v>462</v>
      </c>
      <c r="J38" s="249">
        <f>G34+G35</f>
        <v>5.8452000000000004E-2</v>
      </c>
      <c r="K38" s="199"/>
      <c r="L38" s="270"/>
    </row>
    <row r="39" spans="1:20" x14ac:dyDescent="0.25">
      <c r="A39" s="258"/>
      <c r="C39" s="262"/>
      <c r="D39" s="262"/>
      <c r="E39" s="262"/>
      <c r="K39" s="199"/>
      <c r="L39" s="270"/>
    </row>
    <row r="40" spans="1:20" x14ac:dyDescent="0.25">
      <c r="K40" s="199"/>
      <c r="L40" s="270"/>
    </row>
    <row r="41" spans="1:20" x14ac:dyDescent="0.25">
      <c r="K41" s="199"/>
      <c r="L41" s="270"/>
    </row>
    <row r="42" spans="1:20" x14ac:dyDescent="0.25">
      <c r="G42" s="270"/>
      <c r="H42" s="270"/>
      <c r="I42" s="270"/>
      <c r="J42" s="270"/>
      <c r="K42" s="199"/>
      <c r="L42" s="270"/>
    </row>
    <row r="43" spans="1:20" x14ac:dyDescent="0.25">
      <c r="A43" s="306" t="s">
        <v>530</v>
      </c>
      <c r="B43" s="81" t="s">
        <v>565</v>
      </c>
      <c r="C43" s="305" t="s">
        <v>532</v>
      </c>
      <c r="E43" t="s">
        <v>236</v>
      </c>
      <c r="H43" s="270"/>
      <c r="I43" s="270"/>
      <c r="J43" s="270"/>
      <c r="K43" s="199"/>
      <c r="L43" s="270"/>
      <c r="M43" s="276"/>
      <c r="N43" s="276"/>
      <c r="O43" s="276"/>
      <c r="P43" s="276"/>
      <c r="Q43" s="276"/>
      <c r="R43" s="276"/>
      <c r="S43" s="276"/>
      <c r="T43" s="276"/>
    </row>
    <row r="44" spans="1:20" x14ac:dyDescent="0.25">
      <c r="A44" s="331" t="s">
        <v>531</v>
      </c>
      <c r="B44" s="334">
        <v>0.9</v>
      </c>
      <c r="C44" s="330" t="s">
        <v>533</v>
      </c>
      <c r="G44" s="218"/>
      <c r="H44" s="218"/>
      <c r="J44" s="218"/>
      <c r="K44" s="217"/>
      <c r="L44" s="234"/>
      <c r="M44" s="218"/>
      <c r="N44" s="218"/>
      <c r="O44" s="218"/>
      <c r="P44" s="218"/>
      <c r="Q44" s="218"/>
      <c r="R44" s="218"/>
      <c r="S44" s="218"/>
      <c r="T44" s="218"/>
    </row>
    <row r="45" spans="1:20" x14ac:dyDescent="0.25">
      <c r="A45" s="331" t="s">
        <v>484</v>
      </c>
      <c r="B45" s="335">
        <v>1</v>
      </c>
      <c r="C45" s="330"/>
      <c r="E45" s="304"/>
      <c r="F45" s="304"/>
      <c r="K45" s="199"/>
      <c r="L45" s="270"/>
      <c r="T45" s="218"/>
    </row>
    <row r="46" spans="1:20" x14ac:dyDescent="0.25">
      <c r="A46" s="328"/>
      <c r="B46" s="328"/>
      <c r="K46" s="199"/>
      <c r="L46" s="270"/>
      <c r="T46" s="218"/>
    </row>
    <row r="47" spans="1:20" x14ac:dyDescent="0.25">
      <c r="A47" s="328"/>
      <c r="B47" s="328"/>
      <c r="K47" s="199"/>
      <c r="L47" s="270"/>
      <c r="T47" s="218"/>
    </row>
    <row r="48" spans="1:20" x14ac:dyDescent="0.25">
      <c r="A48" s="328"/>
      <c r="B48" s="328"/>
      <c r="K48" s="199"/>
      <c r="L48" s="270"/>
      <c r="T48" s="218"/>
    </row>
    <row r="49" spans="1:20" x14ac:dyDescent="0.25">
      <c r="A49" s="328"/>
      <c r="B49" s="328"/>
      <c r="K49" s="199"/>
      <c r="L49" s="270"/>
      <c r="T49" s="218"/>
    </row>
    <row r="50" spans="1:20" x14ac:dyDescent="0.25">
      <c r="A50" s="328"/>
      <c r="B50" s="328"/>
      <c r="K50" s="199"/>
      <c r="L50" s="270"/>
      <c r="T50" s="218"/>
    </row>
    <row r="51" spans="1:20" x14ac:dyDescent="0.25">
      <c r="A51" s="328"/>
      <c r="B51" s="329"/>
      <c r="K51" s="199"/>
      <c r="L51" s="270"/>
      <c r="T51" s="218"/>
    </row>
    <row r="52" spans="1:20" x14ac:dyDescent="0.25">
      <c r="A52" s="274"/>
      <c r="B52" s="274"/>
      <c r="K52" s="199"/>
      <c r="L52" s="270"/>
      <c r="T52" s="218"/>
    </row>
    <row r="53" spans="1:20" x14ac:dyDescent="0.25">
      <c r="A53" s="274"/>
      <c r="B53" s="274"/>
      <c r="K53" s="199"/>
      <c r="L53" s="270"/>
      <c r="T53" s="218"/>
    </row>
    <row r="54" spans="1:20" x14ac:dyDescent="0.25">
      <c r="A54" s="270"/>
      <c r="B54" s="270"/>
      <c r="C54" s="270"/>
      <c r="D54" s="270"/>
      <c r="E54" s="270"/>
      <c r="F54" s="270"/>
      <c r="G54" s="270"/>
      <c r="H54" s="270"/>
      <c r="I54" s="270"/>
      <c r="K54" s="199"/>
      <c r="L54" s="270"/>
      <c r="T54" s="218"/>
    </row>
    <row r="55" spans="1:20" ht="15" customHeight="1" x14ac:dyDescent="0.25">
      <c r="A55" s="315"/>
      <c r="B55" s="316"/>
      <c r="C55" s="316"/>
      <c r="D55" s="316"/>
      <c r="E55" s="316"/>
      <c r="F55" s="316"/>
      <c r="G55" s="316"/>
      <c r="H55" s="316"/>
      <c r="I55" s="316"/>
      <c r="K55" s="199"/>
      <c r="L55" s="270"/>
      <c r="T55" s="218"/>
    </row>
    <row r="56" spans="1:20" ht="15" customHeight="1" x14ac:dyDescent="0.25">
      <c r="A56" s="315"/>
      <c r="B56" s="316"/>
      <c r="C56" s="316"/>
      <c r="D56" s="316"/>
      <c r="E56" s="316"/>
      <c r="F56" s="316"/>
      <c r="G56" s="316"/>
      <c r="H56" s="316"/>
      <c r="I56" s="316"/>
      <c r="K56" s="199"/>
      <c r="L56" s="270"/>
      <c r="T56" s="218"/>
    </row>
    <row r="57" spans="1:20" x14ac:dyDescent="0.25">
      <c r="A57" s="270"/>
      <c r="B57" s="270"/>
      <c r="C57" s="270"/>
      <c r="D57" s="270"/>
      <c r="E57" s="270"/>
      <c r="F57" s="270"/>
      <c r="G57" s="270"/>
      <c r="H57" s="270"/>
      <c r="I57" s="270"/>
      <c r="K57" s="199"/>
      <c r="L57" s="270"/>
      <c r="T57" s="218"/>
    </row>
    <row r="58" spans="1:20" x14ac:dyDescent="0.25">
      <c r="A58" s="270"/>
      <c r="B58" s="270"/>
      <c r="C58" s="270"/>
      <c r="D58" s="270"/>
      <c r="E58" s="270"/>
      <c r="F58" s="270"/>
      <c r="G58" s="270"/>
      <c r="H58" s="270"/>
      <c r="I58" s="270"/>
      <c r="K58" s="199"/>
      <c r="T58" s="218"/>
    </row>
    <row r="59" spans="1:20" x14ac:dyDescent="0.25">
      <c r="A59" s="270"/>
      <c r="B59" s="270"/>
      <c r="C59" s="270"/>
      <c r="D59" s="270"/>
      <c r="E59" s="270"/>
      <c r="F59" s="270"/>
      <c r="G59" s="270"/>
      <c r="H59" s="270"/>
      <c r="I59" s="270"/>
      <c r="K59" s="199"/>
      <c r="T59" s="218"/>
    </row>
    <row r="60" spans="1:20" x14ac:dyDescent="0.25">
      <c r="A60" s="270"/>
      <c r="B60" s="270"/>
      <c r="C60" s="270"/>
      <c r="D60" s="270"/>
      <c r="E60" s="270"/>
      <c r="F60" s="270"/>
      <c r="G60" s="270"/>
      <c r="H60" s="270"/>
      <c r="I60" s="270"/>
      <c r="T60" s="218"/>
    </row>
    <row r="61" spans="1:20" x14ac:dyDescent="0.25">
      <c r="T61" s="218"/>
    </row>
    <row r="62" spans="1:20" x14ac:dyDescent="0.25">
      <c r="T62" s="218"/>
    </row>
    <row r="63" spans="1:20" x14ac:dyDescent="0.25">
      <c r="I63" s="218"/>
      <c r="J63" s="218"/>
      <c r="K63" s="218"/>
      <c r="L63" s="218"/>
      <c r="M63" s="218"/>
      <c r="N63" s="218"/>
      <c r="O63" s="218"/>
      <c r="P63" s="218"/>
      <c r="Q63" s="218"/>
      <c r="R63" s="218"/>
      <c r="S63" s="218"/>
      <c r="T63" s="218"/>
    </row>
    <row r="64" spans="1:20" x14ac:dyDescent="0.25">
      <c r="I64" s="218"/>
    </row>
    <row r="65" spans="1:19" ht="45" x14ac:dyDescent="0.25">
      <c r="F65" s="282" t="s">
        <v>288</v>
      </c>
      <c r="G65" s="282" t="s">
        <v>561</v>
      </c>
      <c r="I65" s="282" t="s">
        <v>289</v>
      </c>
      <c r="M65" s="282" t="s">
        <v>429</v>
      </c>
      <c r="N65" s="282" t="s">
        <v>287</v>
      </c>
      <c r="O65" s="282"/>
      <c r="S65" t="s">
        <v>499</v>
      </c>
    </row>
    <row r="66" spans="1:19" x14ac:dyDescent="0.25">
      <c r="A66" s="234" t="s">
        <v>373</v>
      </c>
      <c r="B66" t="s">
        <v>258</v>
      </c>
      <c r="C66">
        <v>140.11600000000001</v>
      </c>
      <c r="E66" t="s">
        <v>254</v>
      </c>
      <c r="F66">
        <v>1</v>
      </c>
      <c r="G66">
        <f>C66*F66</f>
        <v>140.11600000000001</v>
      </c>
      <c r="H66" t="s">
        <v>290</v>
      </c>
      <c r="I66">
        <f>G66*Conversions!$D$6</f>
        <v>0.14011600000000002</v>
      </c>
      <c r="J66" t="s">
        <v>273</v>
      </c>
      <c r="M66" t="s">
        <v>274</v>
      </c>
      <c r="N66">
        <v>172.1148</v>
      </c>
      <c r="O66" t="s">
        <v>254</v>
      </c>
      <c r="P66">
        <f>N66*Conversions!$D$6</f>
        <v>0.17211480000000001</v>
      </c>
      <c r="Q66" t="s">
        <v>273</v>
      </c>
    </row>
    <row r="67" spans="1:19" x14ac:dyDescent="0.25">
      <c r="A67" s="234" t="s">
        <v>374</v>
      </c>
      <c r="B67" t="s">
        <v>257</v>
      </c>
      <c r="C67">
        <v>138.90547000000001</v>
      </c>
      <c r="E67" t="s">
        <v>254</v>
      </c>
      <c r="F67">
        <v>2</v>
      </c>
      <c r="G67">
        <f>C67*F67</f>
        <v>277.81094000000002</v>
      </c>
      <c r="H67" t="s">
        <v>290</v>
      </c>
      <c r="I67">
        <f>G67*Conversions!$D$6</f>
        <v>0.27781094000000001</v>
      </c>
      <c r="J67" t="s">
        <v>273</v>
      </c>
      <c r="M67" t="s">
        <v>275</v>
      </c>
      <c r="N67">
        <v>325.80914000000001</v>
      </c>
      <c r="O67" t="s">
        <v>254</v>
      </c>
      <c r="P67">
        <f>N67*Conversions!$D$6</f>
        <v>0.32580914</v>
      </c>
      <c r="Q67" t="s">
        <v>273</v>
      </c>
    </row>
    <row r="68" spans="1:19" x14ac:dyDescent="0.25">
      <c r="A68" s="234" t="s">
        <v>387</v>
      </c>
      <c r="B68" t="s">
        <v>255</v>
      </c>
      <c r="C68">
        <v>140.90764999999999</v>
      </c>
      <c r="E68" t="s">
        <v>254</v>
      </c>
      <c r="F68">
        <v>6</v>
      </c>
      <c r="G68">
        <f>C68*F68</f>
        <v>845.44589999999994</v>
      </c>
      <c r="H68" t="s">
        <v>290</v>
      </c>
      <c r="I68">
        <f>G68*Conversions!$D$6</f>
        <v>0.84544589999999997</v>
      </c>
      <c r="J68" t="s">
        <v>273</v>
      </c>
      <c r="M68" t="s">
        <v>252</v>
      </c>
      <c r="N68">
        <v>1021.4393</v>
      </c>
      <c r="O68" t="s">
        <v>254</v>
      </c>
      <c r="P68">
        <f>N68*Conversions!$D$6</f>
        <v>1.0214392999999999</v>
      </c>
      <c r="Q68" t="s">
        <v>273</v>
      </c>
    </row>
    <row r="69" spans="1:19" x14ac:dyDescent="0.25">
      <c r="A69" s="258" t="s">
        <v>375</v>
      </c>
      <c r="B69" t="s">
        <v>256</v>
      </c>
      <c r="C69">
        <v>144.24199999999999</v>
      </c>
      <c r="E69" t="s">
        <v>254</v>
      </c>
      <c r="F69">
        <v>2</v>
      </c>
      <c r="G69">
        <f t="shared" ref="G69:G80" si="1">C69*F69</f>
        <v>288.48399999999998</v>
      </c>
      <c r="H69" t="s">
        <v>290</v>
      </c>
      <c r="I69">
        <f>G69*Conversions!$D$6</f>
        <v>0.28848399999999996</v>
      </c>
      <c r="J69" t="s">
        <v>273</v>
      </c>
      <c r="M69" t="s">
        <v>253</v>
      </c>
      <c r="N69">
        <v>336.48219999999998</v>
      </c>
      <c r="O69" t="s">
        <v>254</v>
      </c>
      <c r="P69">
        <f>N69*Conversions!$D$6</f>
        <v>0.33648220000000001</v>
      </c>
      <c r="Q69" t="s">
        <v>273</v>
      </c>
    </row>
    <row r="70" spans="1:19" x14ac:dyDescent="0.25">
      <c r="A70" s="258" t="s">
        <v>376</v>
      </c>
      <c r="B70" t="s">
        <v>259</v>
      </c>
      <c r="C70">
        <v>150.36000000000001</v>
      </c>
      <c r="E70" t="s">
        <v>254</v>
      </c>
      <c r="F70">
        <v>2</v>
      </c>
      <c r="G70">
        <f>C70*F70</f>
        <v>300.72000000000003</v>
      </c>
      <c r="H70" t="s">
        <v>290</v>
      </c>
      <c r="I70">
        <f>G70*Conversions!$D$6</f>
        <v>0.30072000000000004</v>
      </c>
      <c r="J70" t="s">
        <v>273</v>
      </c>
      <c r="M70" t="s">
        <v>276</v>
      </c>
      <c r="N70">
        <v>348.71820000000002</v>
      </c>
      <c r="O70" t="s">
        <v>254</v>
      </c>
      <c r="P70">
        <f>N70*Conversions!$D$6</f>
        <v>0.34871820000000003</v>
      </c>
      <c r="Q70" t="s">
        <v>273</v>
      </c>
    </row>
    <row r="71" spans="1:19" x14ac:dyDescent="0.25">
      <c r="A71" s="258" t="s">
        <v>377</v>
      </c>
      <c r="B71" t="s">
        <v>260</v>
      </c>
      <c r="C71">
        <v>151.964</v>
      </c>
      <c r="E71" t="s">
        <v>254</v>
      </c>
      <c r="F71">
        <v>2</v>
      </c>
      <c r="G71">
        <f>C71*F71</f>
        <v>303.928</v>
      </c>
      <c r="H71" t="s">
        <v>290</v>
      </c>
      <c r="I71">
        <f>G71*Conversions!$D$6</f>
        <v>0.30392799999999998</v>
      </c>
      <c r="J71" t="s">
        <v>273</v>
      </c>
      <c r="M71" t="s">
        <v>277</v>
      </c>
      <c r="N71">
        <v>351.92619999999999</v>
      </c>
      <c r="O71" t="s">
        <v>254</v>
      </c>
      <c r="P71">
        <f>N71*Conversions!$D$6</f>
        <v>0.35192620000000002</v>
      </c>
      <c r="Q71" t="s">
        <v>273</v>
      </c>
    </row>
    <row r="72" spans="1:19" x14ac:dyDescent="0.25">
      <c r="A72" s="258" t="s">
        <v>378</v>
      </c>
      <c r="B72" t="s">
        <v>261</v>
      </c>
      <c r="C72">
        <v>157.25</v>
      </c>
      <c r="E72" t="s">
        <v>254</v>
      </c>
      <c r="F72">
        <v>2</v>
      </c>
      <c r="G72">
        <f t="shared" si="1"/>
        <v>314.5</v>
      </c>
      <c r="H72" t="s">
        <v>290</v>
      </c>
      <c r="I72">
        <f>G72*Conversions!$D$6</f>
        <v>0.3145</v>
      </c>
      <c r="J72" t="s">
        <v>273</v>
      </c>
      <c r="M72" t="s">
        <v>278</v>
      </c>
      <c r="N72">
        <v>362.4982</v>
      </c>
      <c r="O72" t="s">
        <v>254</v>
      </c>
      <c r="P72">
        <f>N72*Conversions!$D$6</f>
        <v>0.36249819999999999</v>
      </c>
      <c r="Q72" t="s">
        <v>273</v>
      </c>
    </row>
    <row r="73" spans="1:19" x14ac:dyDescent="0.25">
      <c r="A73" s="258" t="s">
        <v>379</v>
      </c>
      <c r="B73" t="s">
        <v>262</v>
      </c>
      <c r="C73">
        <v>158.92535000000001</v>
      </c>
      <c r="E73" t="s">
        <v>254</v>
      </c>
      <c r="F73">
        <v>4</v>
      </c>
      <c r="G73">
        <f>C73*F73</f>
        <v>635.70140000000004</v>
      </c>
      <c r="H73" t="s">
        <v>290</v>
      </c>
      <c r="I73">
        <f>G73*Conversions!$D$6</f>
        <v>0.63570140000000008</v>
      </c>
      <c r="J73" t="s">
        <v>273</v>
      </c>
      <c r="M73" t="s">
        <v>279</v>
      </c>
      <c r="N73">
        <v>747.69720000000007</v>
      </c>
      <c r="O73" t="s">
        <v>254</v>
      </c>
      <c r="P73">
        <f>N73*Conversions!$D$6</f>
        <v>0.74769720000000006</v>
      </c>
      <c r="Q73" t="s">
        <v>273</v>
      </c>
    </row>
    <row r="74" spans="1:19" x14ac:dyDescent="0.25">
      <c r="A74" s="258" t="s">
        <v>380</v>
      </c>
      <c r="B74" t="s">
        <v>263</v>
      </c>
      <c r="C74">
        <v>162.5</v>
      </c>
      <c r="E74" t="s">
        <v>254</v>
      </c>
      <c r="F74">
        <v>2</v>
      </c>
      <c r="G74">
        <f t="shared" si="1"/>
        <v>325</v>
      </c>
      <c r="H74" t="s">
        <v>290</v>
      </c>
      <c r="I74">
        <f>G74*Conversions!$D$6</f>
        <v>0.32500000000000001</v>
      </c>
      <c r="J74" t="s">
        <v>273</v>
      </c>
      <c r="M74" t="s">
        <v>280</v>
      </c>
      <c r="N74">
        <v>372.9982</v>
      </c>
      <c r="O74" t="s">
        <v>254</v>
      </c>
      <c r="P74">
        <f>N74*Conversions!$D$6</f>
        <v>0.3729982</v>
      </c>
      <c r="Q74" t="s">
        <v>273</v>
      </c>
    </row>
    <row r="75" spans="1:19" x14ac:dyDescent="0.25">
      <c r="A75" s="265" t="s">
        <v>381</v>
      </c>
      <c r="B75" t="s">
        <v>264</v>
      </c>
      <c r="C75">
        <v>164.93031999999999</v>
      </c>
      <c r="E75" t="s">
        <v>254</v>
      </c>
      <c r="F75">
        <v>2</v>
      </c>
      <c r="G75">
        <f t="shared" si="1"/>
        <v>329.86063999999999</v>
      </c>
      <c r="H75" t="s">
        <v>290</v>
      </c>
      <c r="I75">
        <f>G75*Conversions!$D$6</f>
        <v>0.32986063999999998</v>
      </c>
      <c r="J75" t="s">
        <v>273</v>
      </c>
      <c r="M75" t="s">
        <v>281</v>
      </c>
      <c r="N75">
        <v>377.85883999999999</v>
      </c>
      <c r="O75" t="s">
        <v>254</v>
      </c>
      <c r="P75">
        <f>N75*Conversions!$D$6</f>
        <v>0.37785883999999997</v>
      </c>
      <c r="Q75" t="s">
        <v>273</v>
      </c>
    </row>
    <row r="76" spans="1:19" x14ac:dyDescent="0.25">
      <c r="A76" s="258" t="s">
        <v>382</v>
      </c>
      <c r="B76" t="s">
        <v>265</v>
      </c>
      <c r="C76">
        <v>167.25899999999999</v>
      </c>
      <c r="E76" t="s">
        <v>254</v>
      </c>
      <c r="F76">
        <v>2</v>
      </c>
      <c r="G76">
        <f t="shared" si="1"/>
        <v>334.51799999999997</v>
      </c>
      <c r="H76" t="s">
        <v>290</v>
      </c>
      <c r="I76">
        <f>G76*Conversions!$D$6</f>
        <v>0.33451799999999998</v>
      </c>
      <c r="J76" t="s">
        <v>273</v>
      </c>
      <c r="M76" t="s">
        <v>282</v>
      </c>
      <c r="N76">
        <v>382.51619999999997</v>
      </c>
      <c r="O76" t="s">
        <v>254</v>
      </c>
      <c r="P76">
        <f>N76*Conversions!$D$6</f>
        <v>0.38251619999999997</v>
      </c>
      <c r="Q76" t="s">
        <v>273</v>
      </c>
    </row>
    <row r="77" spans="1:19" x14ac:dyDescent="0.25">
      <c r="A77" s="265" t="s">
        <v>383</v>
      </c>
      <c r="B77" t="s">
        <v>266</v>
      </c>
      <c r="C77">
        <v>168.93421000000001</v>
      </c>
      <c r="E77" t="s">
        <v>254</v>
      </c>
      <c r="F77">
        <v>2</v>
      </c>
      <c r="G77">
        <f t="shared" si="1"/>
        <v>337.86842000000001</v>
      </c>
      <c r="H77" t="s">
        <v>290</v>
      </c>
      <c r="I77">
        <f>G77*Conversions!$D$6</f>
        <v>0.33786842</v>
      </c>
      <c r="J77" t="s">
        <v>273</v>
      </c>
      <c r="M77" t="s">
        <v>283</v>
      </c>
      <c r="N77">
        <v>385.86662000000001</v>
      </c>
      <c r="O77" t="s">
        <v>254</v>
      </c>
      <c r="P77">
        <f>N77*Conversions!$D$6</f>
        <v>0.38586661999999999</v>
      </c>
      <c r="Q77" t="s">
        <v>273</v>
      </c>
    </row>
    <row r="78" spans="1:19" x14ac:dyDescent="0.25">
      <c r="A78" s="258" t="s">
        <v>385</v>
      </c>
      <c r="B78" t="s">
        <v>267</v>
      </c>
      <c r="C78">
        <v>173.04</v>
      </c>
      <c r="E78" t="s">
        <v>254</v>
      </c>
      <c r="F78">
        <v>2</v>
      </c>
      <c r="G78">
        <f t="shared" si="1"/>
        <v>346.08</v>
      </c>
      <c r="H78" t="s">
        <v>290</v>
      </c>
      <c r="I78">
        <f>G78*Conversions!$D$6</f>
        <v>0.34608</v>
      </c>
      <c r="J78" t="s">
        <v>273</v>
      </c>
      <c r="M78" t="s">
        <v>284</v>
      </c>
      <c r="N78">
        <v>394.07819999999998</v>
      </c>
      <c r="O78" t="s">
        <v>254</v>
      </c>
      <c r="P78">
        <f>N78*Conversions!$D$6</f>
        <v>0.39407819999999999</v>
      </c>
      <c r="Q78" t="s">
        <v>273</v>
      </c>
    </row>
    <row r="79" spans="1:19" x14ac:dyDescent="0.25">
      <c r="A79" s="258" t="s">
        <v>386</v>
      </c>
      <c r="B79" t="s">
        <v>268</v>
      </c>
      <c r="C79">
        <v>174.96700000000001</v>
      </c>
      <c r="E79" t="s">
        <v>254</v>
      </c>
      <c r="F79">
        <v>2</v>
      </c>
      <c r="G79">
        <f t="shared" si="1"/>
        <v>349.93400000000003</v>
      </c>
      <c r="H79" t="s">
        <v>290</v>
      </c>
      <c r="I79">
        <f>G79*Conversions!$D$6</f>
        <v>0.34993400000000002</v>
      </c>
      <c r="J79" t="s">
        <v>273</v>
      </c>
      <c r="M79" t="s">
        <v>285</v>
      </c>
      <c r="N79">
        <v>397.93220000000002</v>
      </c>
      <c r="O79" t="s">
        <v>254</v>
      </c>
      <c r="P79">
        <f>N79*Conversions!$D$6</f>
        <v>0.39793220000000001</v>
      </c>
      <c r="Q79" t="s">
        <v>273</v>
      </c>
    </row>
    <row r="80" spans="1:19" x14ac:dyDescent="0.25">
      <c r="A80" s="258" t="s">
        <v>384</v>
      </c>
      <c r="B80" t="s">
        <v>269</v>
      </c>
      <c r="C80">
        <v>88.905850000000001</v>
      </c>
      <c r="E80" t="s">
        <v>254</v>
      </c>
      <c r="F80">
        <v>2</v>
      </c>
      <c r="G80">
        <f t="shared" si="1"/>
        <v>177.8117</v>
      </c>
      <c r="H80" t="s">
        <v>290</v>
      </c>
      <c r="I80">
        <f>G80*Conversions!$D$6</f>
        <v>0.17781170000000002</v>
      </c>
      <c r="J80" t="s">
        <v>273</v>
      </c>
      <c r="M80" t="s">
        <v>286</v>
      </c>
      <c r="N80">
        <v>225.8099</v>
      </c>
      <c r="O80" t="s">
        <v>254</v>
      </c>
      <c r="P80">
        <f>N80*Conversions!$D$6</f>
        <v>0.22580990000000001</v>
      </c>
      <c r="Q80" t="s">
        <v>273</v>
      </c>
    </row>
  </sheetData>
  <pageMargins left="0.7" right="0.7" top="0.75" bottom="0.75" header="0.3" footer="0.3"/>
  <pageSetup paperSize="119" orientation="portrait" r:id="rId1"/>
  <ignoredErrors>
    <ignoredError sqref="F20 F1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76"/>
  <sheetViews>
    <sheetView zoomScale="90" zoomScaleNormal="90" workbookViewId="0">
      <selection activeCell="O40" sqref="O40"/>
    </sheetView>
  </sheetViews>
  <sheetFormatPr defaultRowHeight="15" x14ac:dyDescent="0.25"/>
  <cols>
    <col min="1" max="1" width="11.5703125" style="218" customWidth="1"/>
    <col min="2" max="2" width="14.28515625" style="218" customWidth="1"/>
    <col min="3" max="3" width="13.7109375" style="218" customWidth="1"/>
    <col min="4" max="4" width="12.140625" style="218" customWidth="1"/>
    <col min="5" max="5" width="14.28515625" style="218" customWidth="1"/>
    <col min="6" max="6" width="12.5703125" style="218" customWidth="1"/>
    <col min="7" max="7" width="11.28515625" style="218" customWidth="1"/>
    <col min="8" max="8" width="11.7109375" style="218" customWidth="1"/>
    <col min="9" max="9" width="10.140625" style="218" customWidth="1"/>
    <col min="10" max="10" width="14.5703125" style="217" customWidth="1"/>
    <col min="11" max="11" width="17.5703125" style="234" customWidth="1"/>
    <col min="12" max="12" width="10.7109375" customWidth="1"/>
    <col min="13" max="13" width="10.5703125"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11" customFormat="1" ht="20.25" x14ac:dyDescent="0.3">
      <c r="I1" s="77" t="s">
        <v>19</v>
      </c>
      <c r="J1" s="215"/>
      <c r="K1" s="215"/>
    </row>
    <row r="2" spans="1:11" s="216" customFormat="1" ht="18" customHeight="1" x14ac:dyDescent="0.25">
      <c r="A2" s="238" t="s">
        <v>19</v>
      </c>
      <c r="B2" s="255"/>
      <c r="C2" s="255"/>
      <c r="D2" s="255"/>
      <c r="E2" s="255"/>
      <c r="F2" s="239"/>
      <c r="G2" s="239"/>
      <c r="H2" s="239"/>
      <c r="I2" s="239"/>
      <c r="J2" s="241" t="s">
        <v>64</v>
      </c>
      <c r="K2" s="238"/>
    </row>
    <row r="3" spans="1:11" ht="15.75" customHeight="1" x14ac:dyDescent="0.25">
      <c r="A3"/>
      <c r="B3" s="256" t="s">
        <v>228</v>
      </c>
      <c r="C3" s="256"/>
      <c r="D3" s="256"/>
      <c r="E3" s="257"/>
      <c r="F3"/>
      <c r="G3"/>
      <c r="H3"/>
      <c r="I3"/>
    </row>
    <row r="4" spans="1:11" ht="15.75" customHeight="1" x14ac:dyDescent="0.25">
      <c r="A4"/>
      <c r="B4" s="268"/>
      <c r="C4" s="268"/>
      <c r="D4" s="268"/>
      <c r="E4" s="269"/>
      <c r="F4"/>
      <c r="G4"/>
      <c r="H4"/>
      <c r="I4"/>
    </row>
    <row r="5" spans="1:11" x14ac:dyDescent="0.25">
      <c r="B5" s="234"/>
      <c r="C5" s="234"/>
      <c r="D5" s="234"/>
      <c r="E5" s="234"/>
      <c r="K5" s="217" t="s">
        <v>235</v>
      </c>
    </row>
    <row r="6" spans="1:11" ht="25.5" x14ac:dyDescent="0.25">
      <c r="A6" s="446" t="s">
        <v>367</v>
      </c>
      <c r="B6" s="253" t="s">
        <v>363</v>
      </c>
      <c r="C6" s="277" t="s">
        <v>364</v>
      </c>
      <c r="D6" s="444" t="s">
        <v>365</v>
      </c>
      <c r="E6" s="445"/>
      <c r="F6" s="253" t="s">
        <v>366</v>
      </c>
      <c r="G6" s="253"/>
      <c r="H6" s="253" t="s">
        <v>73</v>
      </c>
      <c r="I6" s="253" t="s">
        <v>73</v>
      </c>
      <c r="J6" s="323" t="s">
        <v>73</v>
      </c>
      <c r="K6" s="270"/>
    </row>
    <row r="7" spans="1:11" ht="51" x14ac:dyDescent="0.25">
      <c r="A7" s="447"/>
      <c r="B7" s="253" t="s">
        <v>368</v>
      </c>
      <c r="C7" s="253" t="s">
        <v>369</v>
      </c>
      <c r="D7" s="277" t="s">
        <v>370</v>
      </c>
      <c r="E7" s="277" t="s">
        <v>371</v>
      </c>
      <c r="F7" s="253" t="s">
        <v>410</v>
      </c>
      <c r="G7" s="277" t="s">
        <v>372</v>
      </c>
      <c r="H7" s="253" t="s">
        <v>413</v>
      </c>
      <c r="I7" s="299" t="s">
        <v>435</v>
      </c>
      <c r="J7" s="323" t="s">
        <v>237</v>
      </c>
      <c r="K7" s="270"/>
    </row>
    <row r="8" spans="1:11" x14ac:dyDescent="0.25">
      <c r="A8" s="283" t="s">
        <v>258</v>
      </c>
      <c r="B8" s="284">
        <v>140.12</v>
      </c>
      <c r="C8" s="284">
        <v>799</v>
      </c>
      <c r="D8" s="284">
        <v>0.192</v>
      </c>
      <c r="E8" s="284">
        <v>41.01</v>
      </c>
      <c r="F8" s="284">
        <v>39</v>
      </c>
      <c r="G8" s="284">
        <v>10.83</v>
      </c>
      <c r="H8" s="292">
        <v>0.33</v>
      </c>
      <c r="I8" s="62">
        <f>H8*Conversions!$D$7/Conversions!$D$5</f>
        <v>330</v>
      </c>
      <c r="J8" s="318">
        <f>I8*CONVERT(1,"kJ","kWh")</f>
        <v>9.166666666666666E-2</v>
      </c>
      <c r="K8" s="270"/>
    </row>
    <row r="9" spans="1:11" x14ac:dyDescent="0.25">
      <c r="A9" s="283" t="s">
        <v>257</v>
      </c>
      <c r="B9" s="284">
        <v>138.91</v>
      </c>
      <c r="C9" s="284">
        <v>918</v>
      </c>
      <c r="D9" s="284">
        <v>0.19500000000000001</v>
      </c>
      <c r="E9" s="284">
        <v>48.1</v>
      </c>
      <c r="F9" s="284">
        <v>44.6</v>
      </c>
      <c r="G9" s="284">
        <v>12.39</v>
      </c>
      <c r="H9" s="292">
        <v>0.38</v>
      </c>
      <c r="I9" s="62">
        <f>H9*Conversions!$D$7/Conversions!$D$5</f>
        <v>380</v>
      </c>
      <c r="J9" s="318">
        <f t="shared" ref="J9:J22" si="0">I9*CONVERT(1,"kJ","kWh")</f>
        <v>0.10555555555555556</v>
      </c>
      <c r="K9" s="270"/>
    </row>
    <row r="10" spans="1:11" x14ac:dyDescent="0.25">
      <c r="A10" s="283" t="s">
        <v>255</v>
      </c>
      <c r="B10" s="284">
        <v>140.91</v>
      </c>
      <c r="C10" s="284">
        <v>931</v>
      </c>
      <c r="D10" s="284">
        <v>0.193</v>
      </c>
      <c r="E10" s="284">
        <v>48.3</v>
      </c>
      <c r="F10" s="284">
        <v>48.9</v>
      </c>
      <c r="G10" s="284">
        <v>13.58</v>
      </c>
      <c r="H10" s="292">
        <v>0.4</v>
      </c>
      <c r="I10" s="62">
        <f>H10*Conversions!$D$7/Conversions!$D$5</f>
        <v>400</v>
      </c>
      <c r="J10" s="318">
        <f t="shared" si="0"/>
        <v>0.1111111111111111</v>
      </c>
      <c r="K10" s="270"/>
    </row>
    <row r="11" spans="1:11" x14ac:dyDescent="0.25">
      <c r="A11" s="283" t="s">
        <v>256</v>
      </c>
      <c r="B11" s="284">
        <v>144.24</v>
      </c>
      <c r="C11" s="284">
        <v>1021</v>
      </c>
      <c r="D11" s="284">
        <v>0.19</v>
      </c>
      <c r="E11" s="284">
        <v>52.3</v>
      </c>
      <c r="F11" s="284">
        <v>49.5</v>
      </c>
      <c r="G11" s="284">
        <v>13.75</v>
      </c>
      <c r="H11" s="292">
        <v>0.42</v>
      </c>
      <c r="I11" s="62">
        <f>H11*Conversions!$D$7/Conversions!$D$5</f>
        <v>420</v>
      </c>
      <c r="J11" s="318">
        <f t="shared" si="0"/>
        <v>0.11666666666666667</v>
      </c>
      <c r="K11" s="270"/>
    </row>
    <row r="12" spans="1:11" x14ac:dyDescent="0.25">
      <c r="A12" s="283" t="s">
        <v>259</v>
      </c>
      <c r="B12" s="284">
        <v>150.36000000000001</v>
      </c>
      <c r="C12" s="284">
        <v>1074</v>
      </c>
      <c r="D12" s="284">
        <v>0.19600000000000001</v>
      </c>
      <c r="E12" s="284">
        <v>56.84</v>
      </c>
      <c r="F12" s="284">
        <v>57.3</v>
      </c>
      <c r="G12" s="284">
        <v>15.92</v>
      </c>
      <c r="H12" s="292">
        <v>0.47</v>
      </c>
      <c r="I12" s="62">
        <f>H12*Conversions!$D$7/Conversions!$D$5</f>
        <v>470</v>
      </c>
      <c r="J12" s="318">
        <f t="shared" si="0"/>
        <v>0.13055555555555556</v>
      </c>
      <c r="K12" s="270"/>
    </row>
    <row r="13" spans="1:11" x14ac:dyDescent="0.25">
      <c r="A13" s="283" t="s">
        <v>260</v>
      </c>
      <c r="B13" s="284">
        <v>151.97</v>
      </c>
      <c r="C13" s="284">
        <v>822</v>
      </c>
      <c r="D13" s="284">
        <v>0.182</v>
      </c>
      <c r="E13" s="284">
        <v>40.04</v>
      </c>
      <c r="F13" s="284">
        <v>60.6</v>
      </c>
      <c r="G13" s="284">
        <v>16.829999999999998</v>
      </c>
      <c r="H13" s="292">
        <v>0.42</v>
      </c>
      <c r="I13" s="62">
        <f>H13*Conversions!$D$7/Conversions!$D$5</f>
        <v>420</v>
      </c>
      <c r="J13" s="318">
        <f t="shared" si="0"/>
        <v>0.11666666666666667</v>
      </c>
      <c r="K13" s="270"/>
    </row>
    <row r="14" spans="1:11" x14ac:dyDescent="0.25">
      <c r="A14" s="283" t="s">
        <v>261</v>
      </c>
      <c r="B14" s="284">
        <v>157.25</v>
      </c>
      <c r="C14" s="284">
        <v>1313</v>
      </c>
      <c r="D14" s="284">
        <v>0.23499999999999999</v>
      </c>
      <c r="E14" s="284">
        <v>83.75</v>
      </c>
      <c r="F14" s="284">
        <v>61.5</v>
      </c>
      <c r="G14" s="284">
        <v>17.079999999999998</v>
      </c>
      <c r="H14" s="292">
        <v>0.57999999999999996</v>
      </c>
      <c r="I14" s="62">
        <f>H14*Conversions!$D$7/Conversions!$D$5</f>
        <v>580</v>
      </c>
      <c r="J14" s="318">
        <f t="shared" si="0"/>
        <v>0.16111111111111112</v>
      </c>
      <c r="K14" s="270"/>
    </row>
    <row r="15" spans="1:11" x14ac:dyDescent="0.25">
      <c r="A15" s="283" t="s">
        <v>262</v>
      </c>
      <c r="B15" s="284">
        <v>158.93</v>
      </c>
      <c r="C15" s="284">
        <v>1356</v>
      </c>
      <c r="D15" s="284">
        <v>0.182</v>
      </c>
      <c r="E15" s="284">
        <v>67.040000000000006</v>
      </c>
      <c r="F15" s="284">
        <v>63.9</v>
      </c>
      <c r="G15" s="284">
        <v>17.75</v>
      </c>
      <c r="H15" s="292">
        <v>0.54</v>
      </c>
      <c r="I15" s="62">
        <f>H15*Conversions!$D$7/Conversions!$D$5</f>
        <v>540</v>
      </c>
      <c r="J15" s="318">
        <f t="shared" si="0"/>
        <v>0.15</v>
      </c>
      <c r="K15" s="291"/>
    </row>
    <row r="16" spans="1:11" x14ac:dyDescent="0.25">
      <c r="A16" s="283" t="s">
        <v>263</v>
      </c>
      <c r="B16" s="284">
        <v>162.5</v>
      </c>
      <c r="C16" s="284">
        <v>1412</v>
      </c>
      <c r="D16" s="284">
        <v>0.17299999999999999</v>
      </c>
      <c r="E16" s="284">
        <v>66.41</v>
      </c>
      <c r="F16" s="284">
        <v>69.8</v>
      </c>
      <c r="G16" s="284">
        <v>19.39</v>
      </c>
      <c r="H16" s="292">
        <v>0.56000000000000005</v>
      </c>
      <c r="I16" s="62">
        <f>H16*Conversions!$D$7/Conversions!$D$5</f>
        <v>560</v>
      </c>
      <c r="J16" s="318">
        <f t="shared" si="0"/>
        <v>0.15555555555555556</v>
      </c>
      <c r="K16" s="270"/>
    </row>
    <row r="17" spans="1:11" x14ac:dyDescent="0.25">
      <c r="A17" s="283" t="s">
        <v>264</v>
      </c>
      <c r="B17" s="284">
        <v>164.93</v>
      </c>
      <c r="C17" s="284">
        <v>1474</v>
      </c>
      <c r="D17" s="284">
        <v>0.16500000000000001</v>
      </c>
      <c r="E17" s="284">
        <v>66.180000000000007</v>
      </c>
      <c r="F17" s="284">
        <v>71.3</v>
      </c>
      <c r="G17" s="284">
        <v>19.809999999999999</v>
      </c>
      <c r="H17" s="292">
        <v>0.56999999999999995</v>
      </c>
      <c r="I17" s="62">
        <f>H17*Conversions!$D$7/Conversions!$D$5</f>
        <v>570</v>
      </c>
      <c r="J17" s="318">
        <f t="shared" si="0"/>
        <v>0.15833333333333333</v>
      </c>
      <c r="K17" s="270"/>
    </row>
    <row r="18" spans="1:11" x14ac:dyDescent="0.25">
      <c r="A18" s="283" t="s">
        <v>265</v>
      </c>
      <c r="B18" s="284">
        <v>167.26</v>
      </c>
      <c r="C18" s="284">
        <v>1529</v>
      </c>
      <c r="D18" s="284">
        <v>0.16800000000000001</v>
      </c>
      <c r="E18" s="284">
        <v>69.95</v>
      </c>
      <c r="F18" s="284">
        <v>119</v>
      </c>
      <c r="G18" s="284">
        <v>33.06</v>
      </c>
      <c r="H18" s="292">
        <v>0.8</v>
      </c>
      <c r="I18" s="62">
        <f>H18*Conversions!$D$7/Conversions!$D$5</f>
        <v>800</v>
      </c>
      <c r="J18" s="318">
        <f t="shared" si="0"/>
        <v>0.22222222222222221</v>
      </c>
      <c r="K18" s="270"/>
    </row>
    <row r="19" spans="1:11" x14ac:dyDescent="0.25">
      <c r="A19" s="283" t="s">
        <v>266</v>
      </c>
      <c r="B19" s="284">
        <v>168.93</v>
      </c>
      <c r="C19" s="284">
        <v>1545</v>
      </c>
      <c r="D19" s="284">
        <v>0.16</v>
      </c>
      <c r="E19" s="284">
        <v>67.33</v>
      </c>
      <c r="F19" s="284">
        <v>99.7</v>
      </c>
      <c r="G19" s="284">
        <v>27.69</v>
      </c>
      <c r="H19" s="292">
        <v>0.7</v>
      </c>
      <c r="I19" s="62">
        <f>H19*Conversions!$D$7/Conversions!$D$5</f>
        <v>700</v>
      </c>
      <c r="J19" s="318">
        <f t="shared" si="0"/>
        <v>0.19444444444444445</v>
      </c>
      <c r="K19" s="270"/>
    </row>
    <row r="20" spans="1:11" x14ac:dyDescent="0.25">
      <c r="A20" s="283" t="s">
        <v>269</v>
      </c>
      <c r="B20" s="284">
        <v>88.91</v>
      </c>
      <c r="C20" s="284">
        <v>1522</v>
      </c>
      <c r="D20" s="284">
        <v>0.29799999999999999</v>
      </c>
      <c r="E20" s="284">
        <v>123.5</v>
      </c>
      <c r="F20" s="284">
        <v>128.1</v>
      </c>
      <c r="G20" s="284">
        <v>35.58</v>
      </c>
      <c r="H20" s="292">
        <v>1.03</v>
      </c>
      <c r="I20" s="62">
        <f>H20*Conversions!$D$7/Conversions!$D$5</f>
        <v>1030</v>
      </c>
      <c r="J20" s="318">
        <f t="shared" si="0"/>
        <v>0.28611111111111109</v>
      </c>
    </row>
    <row r="21" spans="1:11" x14ac:dyDescent="0.25">
      <c r="A21" s="283" t="s">
        <v>267</v>
      </c>
      <c r="B21" s="284">
        <v>173.04</v>
      </c>
      <c r="C21" s="284">
        <v>819</v>
      </c>
      <c r="D21" s="284">
        <v>0.155</v>
      </c>
      <c r="E21" s="284">
        <v>33.97</v>
      </c>
      <c r="F21" s="284">
        <v>44.3</v>
      </c>
      <c r="G21" s="284">
        <v>12.31</v>
      </c>
      <c r="H21" s="292">
        <v>0.33</v>
      </c>
      <c r="I21" s="62">
        <f>H21*Conversions!$D$7/Conversions!$D$5</f>
        <v>330</v>
      </c>
      <c r="J21" s="318">
        <f t="shared" si="0"/>
        <v>9.166666666666666E-2</v>
      </c>
      <c r="K21"/>
    </row>
    <row r="22" spans="1:11" x14ac:dyDescent="0.25">
      <c r="A22" s="283" t="s">
        <v>268</v>
      </c>
      <c r="B22" s="284">
        <v>174.97</v>
      </c>
      <c r="C22" s="284">
        <v>1663</v>
      </c>
      <c r="D22" s="284">
        <v>0.154</v>
      </c>
      <c r="E22" s="284">
        <v>69.86</v>
      </c>
      <c r="F22" s="284">
        <v>106.6</v>
      </c>
      <c r="G22" s="284">
        <v>29.61</v>
      </c>
      <c r="H22" s="294">
        <v>0.74</v>
      </c>
      <c r="I22" s="62">
        <f>H22*Conversions!$D$7/Conversions!$D$5</f>
        <v>740</v>
      </c>
      <c r="J22" s="318">
        <f t="shared" si="0"/>
        <v>0.20555555555555555</v>
      </c>
      <c r="K22"/>
    </row>
    <row r="23" spans="1:11" x14ac:dyDescent="0.25">
      <c r="H23" s="259"/>
      <c r="I23" s="237"/>
      <c r="J23"/>
      <c r="K23"/>
    </row>
    <row r="24" spans="1:11" x14ac:dyDescent="0.25">
      <c r="H24" s="234"/>
      <c r="I24" s="237"/>
      <c r="J24"/>
      <c r="K24"/>
    </row>
    <row r="25" spans="1:11" x14ac:dyDescent="0.25">
      <c r="H25" s="234"/>
      <c r="I25" s="237"/>
      <c r="J25"/>
      <c r="K25"/>
    </row>
    <row r="26" spans="1:11" ht="19.5" x14ac:dyDescent="0.35">
      <c r="B26" s="286" t="s">
        <v>415</v>
      </c>
      <c r="C26" s="285"/>
      <c r="H26" s="234"/>
      <c r="I26" s="237"/>
      <c r="J26"/>
      <c r="K26"/>
    </row>
    <row r="27" spans="1:11" ht="15.75" x14ac:dyDescent="0.25">
      <c r="B27" s="287" t="s">
        <v>409</v>
      </c>
      <c r="H27" s="234"/>
      <c r="I27" s="237"/>
      <c r="J27" t="s">
        <v>235</v>
      </c>
      <c r="K27"/>
    </row>
    <row r="28" spans="1:11" ht="17.25" x14ac:dyDescent="0.35">
      <c r="B28" s="287" t="s">
        <v>412</v>
      </c>
      <c r="H28" s="234"/>
      <c r="I28" s="237"/>
      <c r="J28"/>
      <c r="K28"/>
    </row>
    <row r="29" spans="1:11" ht="19.5" x14ac:dyDescent="0.35">
      <c r="B29" s="287" t="s">
        <v>411</v>
      </c>
      <c r="H29" s="234"/>
      <c r="I29" s="237"/>
      <c r="J29"/>
      <c r="K29"/>
    </row>
    <row r="30" spans="1:11" x14ac:dyDescent="0.25">
      <c r="H30" s="234"/>
      <c r="I30" s="237"/>
      <c r="J30"/>
      <c r="K30"/>
    </row>
    <row r="31" spans="1:11" x14ac:dyDescent="0.25">
      <c r="H31" s="234"/>
      <c r="I31" s="237"/>
      <c r="J31"/>
      <c r="K31"/>
    </row>
    <row r="32" spans="1:11" ht="19.5" x14ac:dyDescent="0.35">
      <c r="B32" s="287" t="s">
        <v>419</v>
      </c>
      <c r="H32" s="234"/>
      <c r="I32" s="237"/>
      <c r="J32"/>
      <c r="K32"/>
    </row>
    <row r="33" spans="1:19" ht="17.25" x14ac:dyDescent="0.35">
      <c r="B33" s="288" t="s">
        <v>417</v>
      </c>
      <c r="H33" s="234"/>
      <c r="I33" s="237"/>
      <c r="J33"/>
      <c r="K33"/>
    </row>
    <row r="34" spans="1:19" ht="19.5" x14ac:dyDescent="0.35">
      <c r="B34" s="287" t="s">
        <v>418</v>
      </c>
      <c r="H34" s="234"/>
      <c r="I34" s="237"/>
      <c r="J34"/>
      <c r="K34"/>
    </row>
    <row r="35" spans="1:19" ht="15.75" x14ac:dyDescent="0.25">
      <c r="B35" s="287" t="s">
        <v>416</v>
      </c>
      <c r="H35" s="234"/>
      <c r="I35" s="237"/>
      <c r="J35"/>
      <c r="K35"/>
    </row>
    <row r="36" spans="1:19" x14ac:dyDescent="0.25">
      <c r="H36" s="234"/>
      <c r="I36" s="237"/>
      <c r="J36"/>
      <c r="K36"/>
    </row>
    <row r="37" spans="1:19" ht="15.75" x14ac:dyDescent="0.25">
      <c r="B37" s="287" t="s">
        <v>524</v>
      </c>
      <c r="H37" s="234"/>
      <c r="I37" s="237"/>
      <c r="J37"/>
      <c r="K37"/>
    </row>
    <row r="38" spans="1:19" x14ac:dyDescent="0.25">
      <c r="H38" s="234"/>
      <c r="I38" s="237"/>
      <c r="J38"/>
      <c r="K38"/>
    </row>
    <row r="39" spans="1:19" x14ac:dyDescent="0.25">
      <c r="I39" s="237"/>
      <c r="J39" s="234"/>
    </row>
    <row r="41" spans="1:19" ht="36" customHeight="1" x14ac:dyDescent="0.25">
      <c r="A41" s="446" t="s">
        <v>367</v>
      </c>
      <c r="B41" s="253" t="s">
        <v>363</v>
      </c>
      <c r="C41" s="253" t="s">
        <v>420</v>
      </c>
      <c r="D41" s="277" t="s">
        <v>364</v>
      </c>
      <c r="E41" s="289" t="s">
        <v>421</v>
      </c>
      <c r="F41" s="290" t="s">
        <v>365</v>
      </c>
      <c r="G41" s="290"/>
      <c r="H41" s="290"/>
      <c r="I41" s="277" t="s">
        <v>366</v>
      </c>
      <c r="J41" s="253"/>
      <c r="K41" s="253"/>
      <c r="L41" s="253" t="s">
        <v>73</v>
      </c>
      <c r="M41" s="283" t="s">
        <v>73</v>
      </c>
      <c r="N41" s="217"/>
    </row>
    <row r="42" spans="1:19" ht="38.25" x14ac:dyDescent="0.25">
      <c r="A42" s="447"/>
      <c r="B42" s="253" t="s">
        <v>368</v>
      </c>
      <c r="C42" s="253" t="s">
        <v>273</v>
      </c>
      <c r="D42" s="253" t="s">
        <v>369</v>
      </c>
      <c r="E42" s="253" t="s">
        <v>422</v>
      </c>
      <c r="F42" s="277" t="s">
        <v>370</v>
      </c>
      <c r="G42" s="277" t="s">
        <v>371</v>
      </c>
      <c r="H42" s="277" t="s">
        <v>423</v>
      </c>
      <c r="I42" s="253" t="s">
        <v>414</v>
      </c>
      <c r="J42" s="277" t="s">
        <v>372</v>
      </c>
      <c r="K42" s="277" t="s">
        <v>424</v>
      </c>
      <c r="L42" s="277" t="s">
        <v>413</v>
      </c>
      <c r="M42" s="279" t="s">
        <v>434</v>
      </c>
      <c r="N42" s="217"/>
    </row>
    <row r="43" spans="1:19" x14ac:dyDescent="0.25">
      <c r="A43" s="283" t="s">
        <v>258</v>
      </c>
      <c r="B43" s="284">
        <v>140.12</v>
      </c>
      <c r="C43" s="292">
        <f>B43*Conversions!$D$6</f>
        <v>0.14011999999999999</v>
      </c>
      <c r="D43" s="292">
        <v>799</v>
      </c>
      <c r="E43" s="292">
        <f>CONVERT(D43,"C","K")</f>
        <v>1072.1500000000001</v>
      </c>
      <c r="F43" s="292">
        <v>0.192</v>
      </c>
      <c r="G43" s="292">
        <v>41.01</v>
      </c>
      <c r="H43" s="292">
        <f>CONVERT(G43,"kWh","kJ")</f>
        <v>147636</v>
      </c>
      <c r="I43" s="292">
        <v>39</v>
      </c>
      <c r="J43" s="292">
        <v>10.83</v>
      </c>
      <c r="K43" s="292">
        <f>CONVERT(J43,"kWh", "kJ")</f>
        <v>38988</v>
      </c>
      <c r="L43" s="292">
        <v>0.33</v>
      </c>
      <c r="M43" s="280">
        <f>H8*Conversions!$D$4</f>
        <v>91.666666666666671</v>
      </c>
      <c r="N43" s="293"/>
      <c r="O43" s="262"/>
      <c r="P43" s="262"/>
      <c r="Q43" s="262"/>
      <c r="R43" s="262"/>
      <c r="S43" s="262"/>
    </row>
    <row r="44" spans="1:19" x14ac:dyDescent="0.25">
      <c r="A44" s="283" t="s">
        <v>257</v>
      </c>
      <c r="B44" s="284">
        <v>138.91</v>
      </c>
      <c r="C44" s="292">
        <f>B44*Conversions!$D$6</f>
        <v>0.13891000000000001</v>
      </c>
      <c r="D44" s="292">
        <v>918</v>
      </c>
      <c r="E44" s="292">
        <f t="shared" ref="E44:E57" si="1">CONVERT(D44,"C","K")</f>
        <v>1191.1500000000001</v>
      </c>
      <c r="F44" s="292">
        <v>0.19500000000000001</v>
      </c>
      <c r="G44" s="292">
        <v>48.1</v>
      </c>
      <c r="H44" s="292">
        <f t="shared" ref="H44:H57" si="2">CONVERT(G44,"kWh","kJ")</f>
        <v>173160</v>
      </c>
      <c r="I44" s="292">
        <v>44.6</v>
      </c>
      <c r="J44" s="292">
        <v>12.39</v>
      </c>
      <c r="K44" s="292">
        <f t="shared" ref="K44:K57" si="3">CONVERT(J44,"kWh", "kJ")</f>
        <v>44604</v>
      </c>
      <c r="L44" s="292">
        <v>0.38</v>
      </c>
      <c r="M44" s="280">
        <f>H9*Conversions!$D$4</f>
        <v>105.55555555555556</v>
      </c>
      <c r="N44" s="293"/>
      <c r="O44" s="262"/>
      <c r="P44" s="262"/>
      <c r="Q44" s="262"/>
      <c r="R44" s="262"/>
      <c r="S44" s="262"/>
    </row>
    <row r="45" spans="1:19" x14ac:dyDescent="0.25">
      <c r="A45" s="283" t="s">
        <v>255</v>
      </c>
      <c r="B45" s="284">
        <v>140.91</v>
      </c>
      <c r="C45" s="292">
        <f>B45*Conversions!$D$6</f>
        <v>0.14091000000000001</v>
      </c>
      <c r="D45" s="292">
        <v>931</v>
      </c>
      <c r="E45" s="292">
        <f t="shared" si="1"/>
        <v>1204.1500000000001</v>
      </c>
      <c r="F45" s="292">
        <v>0.193</v>
      </c>
      <c r="G45" s="292">
        <v>48.3</v>
      </c>
      <c r="H45" s="292">
        <f t="shared" si="2"/>
        <v>173880</v>
      </c>
      <c r="I45" s="292">
        <v>48.9</v>
      </c>
      <c r="J45" s="292">
        <v>13.58</v>
      </c>
      <c r="K45" s="292">
        <f t="shared" si="3"/>
        <v>48888</v>
      </c>
      <c r="L45" s="292">
        <v>0.4</v>
      </c>
      <c r="M45" s="280">
        <f>H10*Conversions!$D$4</f>
        <v>111.11111111111111</v>
      </c>
      <c r="N45" s="293"/>
      <c r="O45" s="262"/>
      <c r="P45" s="262"/>
      <c r="Q45" s="262"/>
      <c r="R45" s="262"/>
      <c r="S45" s="262"/>
    </row>
    <row r="46" spans="1:19" x14ac:dyDescent="0.25">
      <c r="A46" s="283" t="s">
        <v>256</v>
      </c>
      <c r="B46" s="284">
        <v>144.24</v>
      </c>
      <c r="C46" s="292">
        <f>B46*Conversions!$D$6</f>
        <v>0.14424000000000001</v>
      </c>
      <c r="D46" s="292">
        <v>1021</v>
      </c>
      <c r="E46" s="292">
        <f t="shared" si="1"/>
        <v>1294.1500000000001</v>
      </c>
      <c r="F46" s="292">
        <v>0.19</v>
      </c>
      <c r="G46" s="292">
        <v>52.3</v>
      </c>
      <c r="H46" s="292">
        <f t="shared" si="2"/>
        <v>188280</v>
      </c>
      <c r="I46" s="292">
        <v>49.5</v>
      </c>
      <c r="J46" s="292">
        <v>13.75</v>
      </c>
      <c r="K46" s="292">
        <f t="shared" si="3"/>
        <v>49500</v>
      </c>
      <c r="L46" s="292">
        <v>0.42</v>
      </c>
      <c r="M46" s="280">
        <f>H11*Conversions!$D$4</f>
        <v>116.66666666666666</v>
      </c>
      <c r="N46" s="293"/>
      <c r="O46" s="262"/>
      <c r="P46" s="262"/>
      <c r="Q46" s="262"/>
      <c r="R46" s="262"/>
      <c r="S46" s="262"/>
    </row>
    <row r="47" spans="1:19" x14ac:dyDescent="0.25">
      <c r="A47" s="283" t="s">
        <v>259</v>
      </c>
      <c r="B47" s="284">
        <v>150.36000000000001</v>
      </c>
      <c r="C47" s="292">
        <f>B47*Conversions!$D$6</f>
        <v>0.15036000000000002</v>
      </c>
      <c r="D47" s="292">
        <v>1074</v>
      </c>
      <c r="E47" s="292">
        <f t="shared" si="1"/>
        <v>1347.15</v>
      </c>
      <c r="F47" s="292">
        <v>0.19600000000000001</v>
      </c>
      <c r="G47" s="292">
        <v>56.84</v>
      </c>
      <c r="H47" s="292">
        <f t="shared" si="2"/>
        <v>204624</v>
      </c>
      <c r="I47" s="292">
        <v>57.3</v>
      </c>
      <c r="J47" s="292">
        <v>15.92</v>
      </c>
      <c r="K47" s="292">
        <f t="shared" si="3"/>
        <v>57312</v>
      </c>
      <c r="L47" s="292">
        <v>0.47</v>
      </c>
      <c r="M47" s="280">
        <f>H12*Conversions!$D$4</f>
        <v>130.55555555555554</v>
      </c>
      <c r="N47" s="293"/>
      <c r="O47" s="262"/>
      <c r="P47" s="262"/>
      <c r="Q47" s="262"/>
      <c r="R47" s="262"/>
      <c r="S47" s="262"/>
    </row>
    <row r="48" spans="1:19" x14ac:dyDescent="0.25">
      <c r="A48" s="283" t="s">
        <v>260</v>
      </c>
      <c r="B48" s="284">
        <v>151.97</v>
      </c>
      <c r="C48" s="292">
        <f>B48*Conversions!$D$6</f>
        <v>0.15196999999999999</v>
      </c>
      <c r="D48" s="292">
        <v>822</v>
      </c>
      <c r="E48" s="292">
        <f t="shared" si="1"/>
        <v>1095.1500000000001</v>
      </c>
      <c r="F48" s="292">
        <v>0.182</v>
      </c>
      <c r="G48" s="292">
        <v>40.04</v>
      </c>
      <c r="H48" s="292">
        <f t="shared" si="2"/>
        <v>144144</v>
      </c>
      <c r="I48" s="292">
        <v>60.6</v>
      </c>
      <c r="J48" s="292">
        <v>16.829999999999998</v>
      </c>
      <c r="K48" s="292">
        <f t="shared" si="3"/>
        <v>60588</v>
      </c>
      <c r="L48" s="292">
        <v>0.42</v>
      </c>
      <c r="M48" s="280">
        <f>H13*Conversions!$D$4</f>
        <v>116.66666666666666</v>
      </c>
      <c r="N48" s="293"/>
      <c r="O48" s="262"/>
      <c r="P48" s="262"/>
      <c r="Q48" s="262"/>
      <c r="R48" s="262"/>
      <c r="S48" s="262"/>
    </row>
    <row r="49" spans="1:19" x14ac:dyDescent="0.25">
      <c r="A49" s="283" t="s">
        <v>261</v>
      </c>
      <c r="B49" s="284">
        <v>157.25</v>
      </c>
      <c r="C49" s="292">
        <f>B49*Conversions!$D$6</f>
        <v>0.15725</v>
      </c>
      <c r="D49" s="292">
        <v>1313</v>
      </c>
      <c r="E49" s="292">
        <f t="shared" si="1"/>
        <v>1586.15</v>
      </c>
      <c r="F49" s="292">
        <v>0.23499999999999999</v>
      </c>
      <c r="G49" s="292">
        <v>83.75</v>
      </c>
      <c r="H49" s="292">
        <f t="shared" si="2"/>
        <v>301500</v>
      </c>
      <c r="I49" s="292">
        <v>61.5</v>
      </c>
      <c r="J49" s="292">
        <v>17.079999999999998</v>
      </c>
      <c r="K49" s="292">
        <f t="shared" si="3"/>
        <v>61488</v>
      </c>
      <c r="L49" s="292">
        <v>0.57999999999999996</v>
      </c>
      <c r="M49" s="280">
        <f>H14*Conversions!$D$4</f>
        <v>161.11111111111109</v>
      </c>
      <c r="N49" s="293"/>
      <c r="O49" s="262"/>
      <c r="P49" s="262"/>
      <c r="Q49" s="262"/>
      <c r="R49" s="262"/>
      <c r="S49" s="262"/>
    </row>
    <row r="50" spans="1:19" x14ac:dyDescent="0.25">
      <c r="A50" s="283" t="s">
        <v>262</v>
      </c>
      <c r="B50" s="284">
        <v>158.93</v>
      </c>
      <c r="C50" s="292">
        <f>B50*Conversions!$D$6</f>
        <v>0.15893000000000002</v>
      </c>
      <c r="D50" s="292">
        <v>1356</v>
      </c>
      <c r="E50" s="292">
        <f t="shared" si="1"/>
        <v>1629.15</v>
      </c>
      <c r="F50" s="292">
        <v>0.182</v>
      </c>
      <c r="G50" s="292">
        <v>67.040000000000006</v>
      </c>
      <c r="H50" s="292">
        <f t="shared" si="2"/>
        <v>241344</v>
      </c>
      <c r="I50" s="292">
        <v>63.9</v>
      </c>
      <c r="J50" s="292">
        <v>17.75</v>
      </c>
      <c r="K50" s="292">
        <f t="shared" si="3"/>
        <v>63900</v>
      </c>
      <c r="L50" s="292">
        <v>0.54</v>
      </c>
      <c r="M50" s="280">
        <f>H15*Conversions!$D$4</f>
        <v>150</v>
      </c>
      <c r="N50" s="293"/>
      <c r="O50" s="262"/>
      <c r="P50" s="262"/>
      <c r="Q50" s="262"/>
      <c r="R50" s="262"/>
      <c r="S50" s="262"/>
    </row>
    <row r="51" spans="1:19" x14ac:dyDescent="0.25">
      <c r="A51" s="283" t="s">
        <v>263</v>
      </c>
      <c r="B51" s="284">
        <v>162.5</v>
      </c>
      <c r="C51" s="292">
        <f>B51*Conversions!$D$6</f>
        <v>0.16250000000000001</v>
      </c>
      <c r="D51" s="292">
        <v>1412</v>
      </c>
      <c r="E51" s="292">
        <f t="shared" si="1"/>
        <v>1685.15</v>
      </c>
      <c r="F51" s="292">
        <v>0.17299999999999999</v>
      </c>
      <c r="G51" s="292">
        <v>66.41</v>
      </c>
      <c r="H51" s="292">
        <f t="shared" si="2"/>
        <v>239076</v>
      </c>
      <c r="I51" s="292">
        <v>69.8</v>
      </c>
      <c r="J51" s="292">
        <v>19.39</v>
      </c>
      <c r="K51" s="292">
        <f t="shared" si="3"/>
        <v>69804</v>
      </c>
      <c r="L51" s="292">
        <v>0.56000000000000005</v>
      </c>
      <c r="M51" s="280">
        <f>H16*Conversions!$D$4</f>
        <v>155.55555555555557</v>
      </c>
      <c r="N51" s="293"/>
      <c r="O51" s="262"/>
      <c r="P51" s="262"/>
      <c r="Q51" s="262"/>
      <c r="R51" s="262"/>
      <c r="S51" s="262"/>
    </row>
    <row r="52" spans="1:19" x14ac:dyDescent="0.25">
      <c r="A52" s="283" t="s">
        <v>264</v>
      </c>
      <c r="B52" s="284">
        <v>164.93</v>
      </c>
      <c r="C52" s="292">
        <f>B52*Conversions!$D$6</f>
        <v>0.16493000000000002</v>
      </c>
      <c r="D52" s="292">
        <v>1474</v>
      </c>
      <c r="E52" s="292">
        <f t="shared" si="1"/>
        <v>1747.15</v>
      </c>
      <c r="F52" s="292">
        <v>0.16500000000000001</v>
      </c>
      <c r="G52" s="292">
        <v>66.180000000000007</v>
      </c>
      <c r="H52" s="292">
        <f t="shared" si="2"/>
        <v>238248</v>
      </c>
      <c r="I52" s="292">
        <v>71.3</v>
      </c>
      <c r="J52" s="292">
        <v>19.809999999999999</v>
      </c>
      <c r="K52" s="292">
        <f t="shared" si="3"/>
        <v>71316</v>
      </c>
      <c r="L52" s="292">
        <v>0.56999999999999995</v>
      </c>
      <c r="M52" s="280">
        <f>H17*Conversions!$D$4</f>
        <v>158.33333333333331</v>
      </c>
      <c r="N52" s="293"/>
      <c r="O52" s="262"/>
      <c r="P52" s="262"/>
      <c r="Q52" s="262"/>
      <c r="R52" s="262"/>
      <c r="S52" s="262"/>
    </row>
    <row r="53" spans="1:19" x14ac:dyDescent="0.25">
      <c r="A53" s="283" t="s">
        <v>265</v>
      </c>
      <c r="B53" s="284">
        <v>167.26</v>
      </c>
      <c r="C53" s="292">
        <f>B53*Conversions!$D$6</f>
        <v>0.16725999999999999</v>
      </c>
      <c r="D53" s="292">
        <v>1529</v>
      </c>
      <c r="E53" s="292">
        <f t="shared" si="1"/>
        <v>1802.15</v>
      </c>
      <c r="F53" s="292">
        <v>0.16800000000000001</v>
      </c>
      <c r="G53" s="292">
        <v>69.95</v>
      </c>
      <c r="H53" s="292">
        <f t="shared" si="2"/>
        <v>251820</v>
      </c>
      <c r="I53" s="292">
        <v>119</v>
      </c>
      <c r="J53" s="292">
        <v>33.06</v>
      </c>
      <c r="K53" s="292">
        <f t="shared" si="3"/>
        <v>119016</v>
      </c>
      <c r="L53" s="292">
        <v>0.8</v>
      </c>
      <c r="M53" s="280">
        <f>H18*Conversions!$D$4</f>
        <v>222.22222222222223</v>
      </c>
      <c r="N53" s="293"/>
      <c r="O53" s="262"/>
      <c r="P53" s="262"/>
      <c r="Q53" s="262"/>
      <c r="R53" s="262"/>
      <c r="S53" s="262"/>
    </row>
    <row r="54" spans="1:19" x14ac:dyDescent="0.25">
      <c r="A54" s="283" t="s">
        <v>266</v>
      </c>
      <c r="B54" s="284">
        <v>168.93</v>
      </c>
      <c r="C54" s="292">
        <f>B54*Conversions!$D$6</f>
        <v>0.16893</v>
      </c>
      <c r="D54" s="292">
        <v>1545</v>
      </c>
      <c r="E54" s="292">
        <f t="shared" si="1"/>
        <v>1818.15</v>
      </c>
      <c r="F54" s="292">
        <v>0.16</v>
      </c>
      <c r="G54" s="292">
        <v>67.33</v>
      </c>
      <c r="H54" s="292">
        <f t="shared" si="2"/>
        <v>242388</v>
      </c>
      <c r="I54" s="292">
        <v>99.7</v>
      </c>
      <c r="J54" s="292">
        <v>27.69</v>
      </c>
      <c r="K54" s="292">
        <f t="shared" si="3"/>
        <v>99684</v>
      </c>
      <c r="L54" s="292">
        <v>0.7</v>
      </c>
      <c r="M54" s="280">
        <f>H19*Conversions!$D$4</f>
        <v>194.44444444444443</v>
      </c>
      <c r="N54" s="293"/>
      <c r="O54" s="262"/>
      <c r="P54" s="262"/>
      <c r="Q54" s="262"/>
      <c r="R54" s="262"/>
      <c r="S54" s="262"/>
    </row>
    <row r="55" spans="1:19" x14ac:dyDescent="0.25">
      <c r="A55" s="283" t="s">
        <v>269</v>
      </c>
      <c r="B55" s="284">
        <v>88.91</v>
      </c>
      <c r="C55" s="292">
        <f>B55*Conversions!$D$6</f>
        <v>8.8910000000000003E-2</v>
      </c>
      <c r="D55" s="292">
        <v>1522</v>
      </c>
      <c r="E55" s="292">
        <f t="shared" si="1"/>
        <v>1795.15</v>
      </c>
      <c r="F55" s="292">
        <v>0.29799999999999999</v>
      </c>
      <c r="G55" s="292">
        <v>123.5</v>
      </c>
      <c r="H55" s="292">
        <f t="shared" si="2"/>
        <v>444600</v>
      </c>
      <c r="I55" s="292">
        <v>128.1</v>
      </c>
      <c r="J55" s="292">
        <v>35.58</v>
      </c>
      <c r="K55" s="292">
        <f t="shared" si="3"/>
        <v>128088</v>
      </c>
      <c r="L55" s="292">
        <v>1.03</v>
      </c>
      <c r="M55" s="280">
        <f>H20*Conversions!$D$4</f>
        <v>286.11111111111109</v>
      </c>
      <c r="N55" s="293"/>
      <c r="O55" s="262"/>
      <c r="P55" s="262"/>
      <c r="Q55" s="262"/>
      <c r="R55" s="262"/>
      <c r="S55" s="262"/>
    </row>
    <row r="56" spans="1:19" x14ac:dyDescent="0.25">
      <c r="A56" s="283" t="s">
        <v>267</v>
      </c>
      <c r="B56" s="284">
        <v>173.04</v>
      </c>
      <c r="C56" s="292">
        <f>B56*Conversions!$D$6</f>
        <v>0.17304</v>
      </c>
      <c r="D56" s="292">
        <v>819</v>
      </c>
      <c r="E56" s="292">
        <f t="shared" si="1"/>
        <v>1092.1500000000001</v>
      </c>
      <c r="F56" s="292">
        <v>0.155</v>
      </c>
      <c r="G56" s="292">
        <v>33.97</v>
      </c>
      <c r="H56" s="292">
        <f t="shared" si="2"/>
        <v>122292</v>
      </c>
      <c r="I56" s="292">
        <v>44.3</v>
      </c>
      <c r="J56" s="292">
        <v>12.31</v>
      </c>
      <c r="K56" s="292">
        <f t="shared" si="3"/>
        <v>44316</v>
      </c>
      <c r="L56" s="292">
        <v>0.33</v>
      </c>
      <c r="M56" s="280">
        <f>H21*Conversions!$D$4</f>
        <v>91.666666666666671</v>
      </c>
      <c r="N56" s="293"/>
      <c r="O56" s="262"/>
      <c r="P56" s="262"/>
      <c r="Q56" s="262"/>
      <c r="R56" s="262"/>
      <c r="S56" s="262"/>
    </row>
    <row r="57" spans="1:19" x14ac:dyDescent="0.25">
      <c r="A57" s="283" t="s">
        <v>268</v>
      </c>
      <c r="B57" s="284">
        <v>174.97</v>
      </c>
      <c r="C57" s="292">
        <f>B57*Conversions!$D$6</f>
        <v>0.17497000000000001</v>
      </c>
      <c r="D57" s="292">
        <v>1663</v>
      </c>
      <c r="E57" s="292">
        <f t="shared" si="1"/>
        <v>1936.15</v>
      </c>
      <c r="F57" s="292">
        <v>0.154</v>
      </c>
      <c r="G57" s="292">
        <v>69.86</v>
      </c>
      <c r="H57" s="292">
        <f t="shared" si="2"/>
        <v>251496</v>
      </c>
      <c r="I57" s="292">
        <v>106.6</v>
      </c>
      <c r="J57" s="292">
        <v>29.61</v>
      </c>
      <c r="K57" s="292">
        <f t="shared" si="3"/>
        <v>106596</v>
      </c>
      <c r="L57" s="292">
        <v>0.74</v>
      </c>
      <c r="M57" s="280">
        <f>H22*Conversions!$D$4</f>
        <v>205.55555555555554</v>
      </c>
      <c r="N57" s="293"/>
      <c r="O57" s="262"/>
      <c r="P57" s="262"/>
      <c r="Q57" s="262"/>
      <c r="R57" s="262"/>
      <c r="S57" s="262"/>
    </row>
    <row r="60" spans="1:19" x14ac:dyDescent="0.25">
      <c r="B60" s="254" t="s">
        <v>434</v>
      </c>
      <c r="C60" s="253" t="s">
        <v>237</v>
      </c>
      <c r="D60" s="254" t="s">
        <v>435</v>
      </c>
    </row>
    <row r="61" spans="1:19" x14ac:dyDescent="0.25">
      <c r="B61" s="64">
        <v>91.666666666666671</v>
      </c>
      <c r="C61" s="298">
        <f>B61/Conversions!$D$5</f>
        <v>9.1666666666666674E-2</v>
      </c>
      <c r="D61" s="333">
        <f>CONVERT(C61,"kWh","kJ")</f>
        <v>330.00000000000006</v>
      </c>
    </row>
    <row r="62" spans="1:19" x14ac:dyDescent="0.25">
      <c r="B62" s="64">
        <v>105.55555555555556</v>
      </c>
      <c r="C62" s="298">
        <f>B62/Conversions!$D$5</f>
        <v>0.10555555555555556</v>
      </c>
      <c r="D62" s="333">
        <f t="shared" ref="D62:D76" si="4">CONVERT(C62,"kWh","kJ")</f>
        <v>380</v>
      </c>
    </row>
    <row r="63" spans="1:19" x14ac:dyDescent="0.25">
      <c r="B63" s="64">
        <v>638.8888888888888</v>
      </c>
      <c r="C63" s="298">
        <f>B63/Conversions!$D$5</f>
        <v>0.63888888888888884</v>
      </c>
      <c r="D63" s="333">
        <f t="shared" si="4"/>
        <v>2300</v>
      </c>
    </row>
    <row r="64" spans="1:19" x14ac:dyDescent="0.25">
      <c r="B64" s="64">
        <v>111.11111111111111</v>
      </c>
      <c r="C64" s="298">
        <f>B64/Conversions!$D$5</f>
        <v>0.11111111111111112</v>
      </c>
      <c r="D64" s="333">
        <f t="shared" si="4"/>
        <v>400.00000000000006</v>
      </c>
    </row>
    <row r="65" spans="2:4" x14ac:dyDescent="0.25">
      <c r="B65" s="64">
        <v>116.66666666666666</v>
      </c>
      <c r="C65" s="298">
        <f>B65/Conversions!$D$5</f>
        <v>0.11666666666666665</v>
      </c>
      <c r="D65" s="333">
        <f t="shared" si="4"/>
        <v>419.99999999999994</v>
      </c>
    </row>
    <row r="66" spans="2:4" x14ac:dyDescent="0.25">
      <c r="B66" s="64">
        <v>130.55555555555554</v>
      </c>
      <c r="C66" s="298">
        <f>B66/Conversions!$D$5</f>
        <v>0.13055555555555554</v>
      </c>
      <c r="D66" s="333">
        <f t="shared" si="4"/>
        <v>469.99999999999989</v>
      </c>
    </row>
    <row r="67" spans="2:4" x14ac:dyDescent="0.25">
      <c r="B67" s="64">
        <v>116.66666666666666</v>
      </c>
      <c r="C67" s="298">
        <f>B67/Conversions!$D$5</f>
        <v>0.11666666666666665</v>
      </c>
      <c r="D67" s="333">
        <f t="shared" si="4"/>
        <v>419.99999999999994</v>
      </c>
    </row>
    <row r="68" spans="2:4" x14ac:dyDescent="0.25">
      <c r="B68" s="64">
        <v>161.11111111111109</v>
      </c>
      <c r="C68" s="298">
        <f>B68/Conversions!$D$5</f>
        <v>0.16111111111111109</v>
      </c>
      <c r="D68" s="333">
        <f t="shared" si="4"/>
        <v>579.99999999999989</v>
      </c>
    </row>
    <row r="69" spans="2:4" x14ac:dyDescent="0.25">
      <c r="B69" s="64">
        <v>150</v>
      </c>
      <c r="C69" s="298">
        <f>B69/Conversions!$D$5</f>
        <v>0.15</v>
      </c>
      <c r="D69" s="333">
        <f t="shared" si="4"/>
        <v>540</v>
      </c>
    </row>
    <row r="70" spans="2:4" x14ac:dyDescent="0.25">
      <c r="B70" s="64">
        <v>155.55555555555557</v>
      </c>
      <c r="C70" s="298">
        <f>B70/Conversions!$D$5</f>
        <v>0.15555555555555556</v>
      </c>
      <c r="D70" s="333">
        <f t="shared" si="4"/>
        <v>560</v>
      </c>
    </row>
    <row r="71" spans="2:4" x14ac:dyDescent="0.25">
      <c r="B71" s="64">
        <v>158.33333333333331</v>
      </c>
      <c r="C71" s="298">
        <f>B71/Conversions!$D$5</f>
        <v>0.15833333333333333</v>
      </c>
      <c r="D71" s="333">
        <f t="shared" si="4"/>
        <v>570</v>
      </c>
    </row>
    <row r="72" spans="2:4" x14ac:dyDescent="0.25">
      <c r="B72" s="64">
        <v>222.22222222222223</v>
      </c>
      <c r="C72" s="298">
        <f>B72/Conversions!$D$5</f>
        <v>0.22222222222222224</v>
      </c>
      <c r="D72" s="333">
        <f t="shared" si="4"/>
        <v>800.00000000000011</v>
      </c>
    </row>
    <row r="73" spans="2:4" x14ac:dyDescent="0.25">
      <c r="B73" s="64">
        <v>194.44444444444443</v>
      </c>
      <c r="C73" s="298">
        <f>B73/Conversions!$D$5</f>
        <v>0.19444444444444442</v>
      </c>
      <c r="D73" s="333">
        <f t="shared" si="4"/>
        <v>699.99999999999989</v>
      </c>
    </row>
    <row r="74" spans="2:4" x14ac:dyDescent="0.25">
      <c r="B74" s="64">
        <v>286.11111111111109</v>
      </c>
      <c r="C74" s="298">
        <f>B74/Conversions!$D$5</f>
        <v>0.28611111111111109</v>
      </c>
      <c r="D74" s="333">
        <f t="shared" si="4"/>
        <v>1030</v>
      </c>
    </row>
    <row r="75" spans="2:4" x14ac:dyDescent="0.25">
      <c r="B75" s="64">
        <v>91.666666666666671</v>
      </c>
      <c r="C75" s="298">
        <f>B75/Conversions!$D$5</f>
        <v>9.1666666666666674E-2</v>
      </c>
      <c r="D75" s="333">
        <f t="shared" si="4"/>
        <v>330.00000000000006</v>
      </c>
    </row>
    <row r="76" spans="2:4" x14ac:dyDescent="0.25">
      <c r="B76" s="64">
        <v>205.55555555555554</v>
      </c>
      <c r="C76" s="298">
        <f>B76/Conversions!$D$5</f>
        <v>0.20555555555555555</v>
      </c>
      <c r="D76" s="333">
        <f t="shared" si="4"/>
        <v>740</v>
      </c>
    </row>
  </sheetData>
  <mergeCells count="3">
    <mergeCell ref="D6:E6"/>
    <mergeCell ref="A6:A7"/>
    <mergeCell ref="A41:A4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7" sqref="D7"/>
    </sheetView>
  </sheetViews>
  <sheetFormatPr defaultColWidth="9.140625" defaultRowHeight="12.75" x14ac:dyDescent="0.2"/>
  <cols>
    <col min="1" max="3" width="9.140625" style="218"/>
    <col min="4" max="4" width="13.42578125" style="218" bestFit="1" customWidth="1"/>
    <col min="5" max="5" width="16.42578125" style="218" bestFit="1" customWidth="1"/>
    <col min="6" max="6" width="23.42578125" style="218" customWidth="1"/>
    <col min="7" max="7" width="11" style="218" bestFit="1" customWidth="1"/>
    <col min="8" max="259" width="9.140625" style="218"/>
    <col min="260" max="260" width="13.42578125" style="218" bestFit="1" customWidth="1"/>
    <col min="261" max="261" width="16.42578125" style="218" bestFit="1" customWidth="1"/>
    <col min="262" max="262" width="23.42578125" style="218" customWidth="1"/>
    <col min="263" max="263" width="11" style="218" bestFit="1" customWidth="1"/>
    <col min="264" max="515" width="9.140625" style="218"/>
    <col min="516" max="516" width="13.42578125" style="218" bestFit="1" customWidth="1"/>
    <col min="517" max="517" width="16.42578125" style="218" bestFit="1" customWidth="1"/>
    <col min="518" max="518" width="23.42578125" style="218" customWidth="1"/>
    <col min="519" max="519" width="11" style="218" bestFit="1" customWidth="1"/>
    <col min="520" max="771" width="9.140625" style="218"/>
    <col min="772" max="772" width="13.42578125" style="218" bestFit="1" customWidth="1"/>
    <col min="773" max="773" width="16.42578125" style="218" bestFit="1" customWidth="1"/>
    <col min="774" max="774" width="23.42578125" style="218" customWidth="1"/>
    <col min="775" max="775" width="11" style="218" bestFit="1" customWidth="1"/>
    <col min="776" max="1027" width="9.140625" style="218"/>
    <col min="1028" max="1028" width="13.42578125" style="218" bestFit="1" customWidth="1"/>
    <col min="1029" max="1029" width="16.42578125" style="218" bestFit="1" customWidth="1"/>
    <col min="1030" max="1030" width="23.42578125" style="218" customWidth="1"/>
    <col min="1031" max="1031" width="11" style="218" bestFit="1" customWidth="1"/>
    <col min="1032" max="1283" width="9.140625" style="218"/>
    <col min="1284" max="1284" width="13.42578125" style="218" bestFit="1" customWidth="1"/>
    <col min="1285" max="1285" width="16.42578125" style="218" bestFit="1" customWidth="1"/>
    <col min="1286" max="1286" width="23.42578125" style="218" customWidth="1"/>
    <col min="1287" max="1287" width="11" style="218" bestFit="1" customWidth="1"/>
    <col min="1288" max="1539" width="9.140625" style="218"/>
    <col min="1540" max="1540" width="13.42578125" style="218" bestFit="1" customWidth="1"/>
    <col min="1541" max="1541" width="16.42578125" style="218" bestFit="1" customWidth="1"/>
    <col min="1542" max="1542" width="23.42578125" style="218" customWidth="1"/>
    <col min="1543" max="1543" width="11" style="218" bestFit="1" customWidth="1"/>
    <col min="1544" max="1795" width="9.140625" style="218"/>
    <col min="1796" max="1796" width="13.42578125" style="218" bestFit="1" customWidth="1"/>
    <col min="1797" max="1797" width="16.42578125" style="218" bestFit="1" customWidth="1"/>
    <col min="1798" max="1798" width="23.42578125" style="218" customWidth="1"/>
    <col min="1799" max="1799" width="11" style="218" bestFit="1" customWidth="1"/>
    <col min="1800" max="2051" width="9.140625" style="218"/>
    <col min="2052" max="2052" width="13.42578125" style="218" bestFit="1" customWidth="1"/>
    <col min="2053" max="2053" width="16.42578125" style="218" bestFit="1" customWidth="1"/>
    <col min="2054" max="2054" width="23.42578125" style="218" customWidth="1"/>
    <col min="2055" max="2055" width="11" style="218" bestFit="1" customWidth="1"/>
    <col min="2056" max="2307" width="9.140625" style="218"/>
    <col min="2308" max="2308" width="13.42578125" style="218" bestFit="1" customWidth="1"/>
    <col min="2309" max="2309" width="16.42578125" style="218" bestFit="1" customWidth="1"/>
    <col min="2310" max="2310" width="23.42578125" style="218" customWidth="1"/>
    <col min="2311" max="2311" width="11" style="218" bestFit="1" customWidth="1"/>
    <col min="2312" max="2563" width="9.140625" style="218"/>
    <col min="2564" max="2564" width="13.42578125" style="218" bestFit="1" customWidth="1"/>
    <col min="2565" max="2565" width="16.42578125" style="218" bestFit="1" customWidth="1"/>
    <col min="2566" max="2566" width="23.42578125" style="218" customWidth="1"/>
    <col min="2567" max="2567" width="11" style="218" bestFit="1" customWidth="1"/>
    <col min="2568" max="2819" width="9.140625" style="218"/>
    <col min="2820" max="2820" width="13.42578125" style="218" bestFit="1" customWidth="1"/>
    <col min="2821" max="2821" width="16.42578125" style="218" bestFit="1" customWidth="1"/>
    <col min="2822" max="2822" width="23.42578125" style="218" customWidth="1"/>
    <col min="2823" max="2823" width="11" style="218" bestFit="1" customWidth="1"/>
    <col min="2824" max="3075" width="9.140625" style="218"/>
    <col min="3076" max="3076" width="13.42578125" style="218" bestFit="1" customWidth="1"/>
    <col min="3077" max="3077" width="16.42578125" style="218" bestFit="1" customWidth="1"/>
    <col min="3078" max="3078" width="23.42578125" style="218" customWidth="1"/>
    <col min="3079" max="3079" width="11" style="218" bestFit="1" customWidth="1"/>
    <col min="3080" max="3331" width="9.140625" style="218"/>
    <col min="3332" max="3332" width="13.42578125" style="218" bestFit="1" customWidth="1"/>
    <col min="3333" max="3333" width="16.42578125" style="218" bestFit="1" customWidth="1"/>
    <col min="3334" max="3334" width="23.42578125" style="218" customWidth="1"/>
    <col min="3335" max="3335" width="11" style="218" bestFit="1" customWidth="1"/>
    <col min="3336" max="3587" width="9.140625" style="218"/>
    <col min="3588" max="3588" width="13.42578125" style="218" bestFit="1" customWidth="1"/>
    <col min="3589" max="3589" width="16.42578125" style="218" bestFit="1" customWidth="1"/>
    <col min="3590" max="3590" width="23.42578125" style="218" customWidth="1"/>
    <col min="3591" max="3591" width="11" style="218" bestFit="1" customWidth="1"/>
    <col min="3592" max="3843" width="9.140625" style="218"/>
    <col min="3844" max="3844" width="13.42578125" style="218" bestFit="1" customWidth="1"/>
    <col min="3845" max="3845" width="16.42578125" style="218" bestFit="1" customWidth="1"/>
    <col min="3846" max="3846" width="23.42578125" style="218" customWidth="1"/>
    <col min="3847" max="3847" width="11" style="218" bestFit="1" customWidth="1"/>
    <col min="3848" max="4099" width="9.140625" style="218"/>
    <col min="4100" max="4100" width="13.42578125" style="218" bestFit="1" customWidth="1"/>
    <col min="4101" max="4101" width="16.42578125" style="218" bestFit="1" customWidth="1"/>
    <col min="4102" max="4102" width="23.42578125" style="218" customWidth="1"/>
    <col min="4103" max="4103" width="11" style="218" bestFit="1" customWidth="1"/>
    <col min="4104" max="4355" width="9.140625" style="218"/>
    <col min="4356" max="4356" width="13.42578125" style="218" bestFit="1" customWidth="1"/>
    <col min="4357" max="4357" width="16.42578125" style="218" bestFit="1" customWidth="1"/>
    <col min="4358" max="4358" width="23.42578125" style="218" customWidth="1"/>
    <col min="4359" max="4359" width="11" style="218" bestFit="1" customWidth="1"/>
    <col min="4360" max="4611" width="9.140625" style="218"/>
    <col min="4612" max="4612" width="13.42578125" style="218" bestFit="1" customWidth="1"/>
    <col min="4613" max="4613" width="16.42578125" style="218" bestFit="1" customWidth="1"/>
    <col min="4614" max="4614" width="23.42578125" style="218" customWidth="1"/>
    <col min="4615" max="4615" width="11" style="218" bestFit="1" customWidth="1"/>
    <col min="4616" max="4867" width="9.140625" style="218"/>
    <col min="4868" max="4868" width="13.42578125" style="218" bestFit="1" customWidth="1"/>
    <col min="4869" max="4869" width="16.42578125" style="218" bestFit="1" customWidth="1"/>
    <col min="4870" max="4870" width="23.42578125" style="218" customWidth="1"/>
    <col min="4871" max="4871" width="11" style="218" bestFit="1" customWidth="1"/>
    <col min="4872" max="5123" width="9.140625" style="218"/>
    <col min="5124" max="5124" width="13.42578125" style="218" bestFit="1" customWidth="1"/>
    <col min="5125" max="5125" width="16.42578125" style="218" bestFit="1" customWidth="1"/>
    <col min="5126" max="5126" width="23.42578125" style="218" customWidth="1"/>
    <col min="5127" max="5127" width="11" style="218" bestFit="1" customWidth="1"/>
    <col min="5128" max="5379" width="9.140625" style="218"/>
    <col min="5380" max="5380" width="13.42578125" style="218" bestFit="1" customWidth="1"/>
    <col min="5381" max="5381" width="16.42578125" style="218" bestFit="1" customWidth="1"/>
    <col min="5382" max="5382" width="23.42578125" style="218" customWidth="1"/>
    <col min="5383" max="5383" width="11" style="218" bestFit="1" customWidth="1"/>
    <col min="5384" max="5635" width="9.140625" style="218"/>
    <col min="5636" max="5636" width="13.42578125" style="218" bestFit="1" customWidth="1"/>
    <col min="5637" max="5637" width="16.42578125" style="218" bestFit="1" customWidth="1"/>
    <col min="5638" max="5638" width="23.42578125" style="218" customWidth="1"/>
    <col min="5639" max="5639" width="11" style="218" bestFit="1" customWidth="1"/>
    <col min="5640" max="5891" width="9.140625" style="218"/>
    <col min="5892" max="5892" width="13.42578125" style="218" bestFit="1" customWidth="1"/>
    <col min="5893" max="5893" width="16.42578125" style="218" bestFit="1" customWidth="1"/>
    <col min="5894" max="5894" width="23.42578125" style="218" customWidth="1"/>
    <col min="5895" max="5895" width="11" style="218" bestFit="1" customWidth="1"/>
    <col min="5896" max="6147" width="9.140625" style="218"/>
    <col min="6148" max="6148" width="13.42578125" style="218" bestFit="1" customWidth="1"/>
    <col min="6149" max="6149" width="16.42578125" style="218" bestFit="1" customWidth="1"/>
    <col min="6150" max="6150" width="23.42578125" style="218" customWidth="1"/>
    <col min="6151" max="6151" width="11" style="218" bestFit="1" customWidth="1"/>
    <col min="6152" max="6403" width="9.140625" style="218"/>
    <col min="6404" max="6404" width="13.42578125" style="218" bestFit="1" customWidth="1"/>
    <col min="6405" max="6405" width="16.42578125" style="218" bestFit="1" customWidth="1"/>
    <col min="6406" max="6406" width="23.42578125" style="218" customWidth="1"/>
    <col min="6407" max="6407" width="11" style="218" bestFit="1" customWidth="1"/>
    <col min="6408" max="6659" width="9.140625" style="218"/>
    <col min="6660" max="6660" width="13.42578125" style="218" bestFit="1" customWidth="1"/>
    <col min="6661" max="6661" width="16.42578125" style="218" bestFit="1" customWidth="1"/>
    <col min="6662" max="6662" width="23.42578125" style="218" customWidth="1"/>
    <col min="6663" max="6663" width="11" style="218" bestFit="1" customWidth="1"/>
    <col min="6664" max="6915" width="9.140625" style="218"/>
    <col min="6916" max="6916" width="13.42578125" style="218" bestFit="1" customWidth="1"/>
    <col min="6917" max="6917" width="16.42578125" style="218" bestFit="1" customWidth="1"/>
    <col min="6918" max="6918" width="23.42578125" style="218" customWidth="1"/>
    <col min="6919" max="6919" width="11" style="218" bestFit="1" customWidth="1"/>
    <col min="6920" max="7171" width="9.140625" style="218"/>
    <col min="7172" max="7172" width="13.42578125" style="218" bestFit="1" customWidth="1"/>
    <col min="7173" max="7173" width="16.42578125" style="218" bestFit="1" customWidth="1"/>
    <col min="7174" max="7174" width="23.42578125" style="218" customWidth="1"/>
    <col min="7175" max="7175" width="11" style="218" bestFit="1" customWidth="1"/>
    <col min="7176" max="7427" width="9.140625" style="218"/>
    <col min="7428" max="7428" width="13.42578125" style="218" bestFit="1" customWidth="1"/>
    <col min="7429" max="7429" width="16.42578125" style="218" bestFit="1" customWidth="1"/>
    <col min="7430" max="7430" width="23.42578125" style="218" customWidth="1"/>
    <col min="7431" max="7431" width="11" style="218" bestFit="1" customWidth="1"/>
    <col min="7432" max="7683" width="9.140625" style="218"/>
    <col min="7684" max="7684" width="13.42578125" style="218" bestFit="1" customWidth="1"/>
    <col min="7685" max="7685" width="16.42578125" style="218" bestFit="1" customWidth="1"/>
    <col min="7686" max="7686" width="23.42578125" style="218" customWidth="1"/>
    <col min="7687" max="7687" width="11" style="218" bestFit="1" customWidth="1"/>
    <col min="7688" max="7939" width="9.140625" style="218"/>
    <col min="7940" max="7940" width="13.42578125" style="218" bestFit="1" customWidth="1"/>
    <col min="7941" max="7941" width="16.42578125" style="218" bestFit="1" customWidth="1"/>
    <col min="7942" max="7942" width="23.42578125" style="218" customWidth="1"/>
    <col min="7943" max="7943" width="11" style="218" bestFit="1" customWidth="1"/>
    <col min="7944" max="8195" width="9.140625" style="218"/>
    <col min="8196" max="8196" width="13.42578125" style="218" bestFit="1" customWidth="1"/>
    <col min="8197" max="8197" width="16.42578125" style="218" bestFit="1" customWidth="1"/>
    <col min="8198" max="8198" width="23.42578125" style="218" customWidth="1"/>
    <col min="8199" max="8199" width="11" style="218" bestFit="1" customWidth="1"/>
    <col min="8200" max="8451" width="9.140625" style="218"/>
    <col min="8452" max="8452" width="13.42578125" style="218" bestFit="1" customWidth="1"/>
    <col min="8453" max="8453" width="16.42578125" style="218" bestFit="1" customWidth="1"/>
    <col min="8454" max="8454" width="23.42578125" style="218" customWidth="1"/>
    <col min="8455" max="8455" width="11" style="218" bestFit="1" customWidth="1"/>
    <col min="8456" max="8707" width="9.140625" style="218"/>
    <col min="8708" max="8708" width="13.42578125" style="218" bestFit="1" customWidth="1"/>
    <col min="8709" max="8709" width="16.42578125" style="218" bestFit="1" customWidth="1"/>
    <col min="8710" max="8710" width="23.42578125" style="218" customWidth="1"/>
    <col min="8711" max="8711" width="11" style="218" bestFit="1" customWidth="1"/>
    <col min="8712" max="8963" width="9.140625" style="218"/>
    <col min="8964" max="8964" width="13.42578125" style="218" bestFit="1" customWidth="1"/>
    <col min="8965" max="8965" width="16.42578125" style="218" bestFit="1" customWidth="1"/>
    <col min="8966" max="8966" width="23.42578125" style="218" customWidth="1"/>
    <col min="8967" max="8967" width="11" style="218" bestFit="1" customWidth="1"/>
    <col min="8968" max="9219" width="9.140625" style="218"/>
    <col min="9220" max="9220" width="13.42578125" style="218" bestFit="1" customWidth="1"/>
    <col min="9221" max="9221" width="16.42578125" style="218" bestFit="1" customWidth="1"/>
    <col min="9222" max="9222" width="23.42578125" style="218" customWidth="1"/>
    <col min="9223" max="9223" width="11" style="218" bestFit="1" customWidth="1"/>
    <col min="9224" max="9475" width="9.140625" style="218"/>
    <col min="9476" max="9476" width="13.42578125" style="218" bestFit="1" customWidth="1"/>
    <col min="9477" max="9477" width="16.42578125" style="218" bestFit="1" customWidth="1"/>
    <col min="9478" max="9478" width="23.42578125" style="218" customWidth="1"/>
    <col min="9479" max="9479" width="11" style="218" bestFit="1" customWidth="1"/>
    <col min="9480" max="9731" width="9.140625" style="218"/>
    <col min="9732" max="9732" width="13.42578125" style="218" bestFit="1" customWidth="1"/>
    <col min="9733" max="9733" width="16.42578125" style="218" bestFit="1" customWidth="1"/>
    <col min="9734" max="9734" width="23.42578125" style="218" customWidth="1"/>
    <col min="9735" max="9735" width="11" style="218" bestFit="1" customWidth="1"/>
    <col min="9736" max="9987" width="9.140625" style="218"/>
    <col min="9988" max="9988" width="13.42578125" style="218" bestFit="1" customWidth="1"/>
    <col min="9989" max="9989" width="16.42578125" style="218" bestFit="1" customWidth="1"/>
    <col min="9990" max="9990" width="23.42578125" style="218" customWidth="1"/>
    <col min="9991" max="9991" width="11" style="218" bestFit="1" customWidth="1"/>
    <col min="9992" max="10243" width="9.140625" style="218"/>
    <col min="10244" max="10244" width="13.42578125" style="218" bestFit="1" customWidth="1"/>
    <col min="10245" max="10245" width="16.42578125" style="218" bestFit="1" customWidth="1"/>
    <col min="10246" max="10246" width="23.42578125" style="218" customWidth="1"/>
    <col min="10247" max="10247" width="11" style="218" bestFit="1" customWidth="1"/>
    <col min="10248" max="10499" width="9.140625" style="218"/>
    <col min="10500" max="10500" width="13.42578125" style="218" bestFit="1" customWidth="1"/>
    <col min="10501" max="10501" width="16.42578125" style="218" bestFit="1" customWidth="1"/>
    <col min="10502" max="10502" width="23.42578125" style="218" customWidth="1"/>
    <col min="10503" max="10503" width="11" style="218" bestFit="1" customWidth="1"/>
    <col min="10504" max="10755" width="9.140625" style="218"/>
    <col min="10756" max="10756" width="13.42578125" style="218" bestFit="1" customWidth="1"/>
    <col min="10757" max="10757" width="16.42578125" style="218" bestFit="1" customWidth="1"/>
    <col min="10758" max="10758" width="23.42578125" style="218" customWidth="1"/>
    <col min="10759" max="10759" width="11" style="218" bestFit="1" customWidth="1"/>
    <col min="10760" max="11011" width="9.140625" style="218"/>
    <col min="11012" max="11012" width="13.42578125" style="218" bestFit="1" customWidth="1"/>
    <col min="11013" max="11013" width="16.42578125" style="218" bestFit="1" customWidth="1"/>
    <col min="11014" max="11014" width="23.42578125" style="218" customWidth="1"/>
    <col min="11015" max="11015" width="11" style="218" bestFit="1" customWidth="1"/>
    <col min="11016" max="11267" width="9.140625" style="218"/>
    <col min="11268" max="11268" width="13.42578125" style="218" bestFit="1" customWidth="1"/>
    <col min="11269" max="11269" width="16.42578125" style="218" bestFit="1" customWidth="1"/>
    <col min="11270" max="11270" width="23.42578125" style="218" customWidth="1"/>
    <col min="11271" max="11271" width="11" style="218" bestFit="1" customWidth="1"/>
    <col min="11272" max="11523" width="9.140625" style="218"/>
    <col min="11524" max="11524" width="13.42578125" style="218" bestFit="1" customWidth="1"/>
    <col min="11525" max="11525" width="16.42578125" style="218" bestFit="1" customWidth="1"/>
    <col min="11526" max="11526" width="23.42578125" style="218" customWidth="1"/>
    <col min="11527" max="11527" width="11" style="218" bestFit="1" customWidth="1"/>
    <col min="11528" max="11779" width="9.140625" style="218"/>
    <col min="11780" max="11780" width="13.42578125" style="218" bestFit="1" customWidth="1"/>
    <col min="11781" max="11781" width="16.42578125" style="218" bestFit="1" customWidth="1"/>
    <col min="11782" max="11782" width="23.42578125" style="218" customWidth="1"/>
    <col min="11783" max="11783" width="11" style="218" bestFit="1" customWidth="1"/>
    <col min="11784" max="12035" width="9.140625" style="218"/>
    <col min="12036" max="12036" width="13.42578125" style="218" bestFit="1" customWidth="1"/>
    <col min="12037" max="12037" width="16.42578125" style="218" bestFit="1" customWidth="1"/>
    <col min="12038" max="12038" width="23.42578125" style="218" customWidth="1"/>
    <col min="12039" max="12039" width="11" style="218" bestFit="1" customWidth="1"/>
    <col min="12040" max="12291" width="9.140625" style="218"/>
    <col min="12292" max="12292" width="13.42578125" style="218" bestFit="1" customWidth="1"/>
    <col min="12293" max="12293" width="16.42578125" style="218" bestFit="1" customWidth="1"/>
    <col min="12294" max="12294" width="23.42578125" style="218" customWidth="1"/>
    <col min="12295" max="12295" width="11" style="218" bestFit="1" customWidth="1"/>
    <col min="12296" max="12547" width="9.140625" style="218"/>
    <col min="12548" max="12548" width="13.42578125" style="218" bestFit="1" customWidth="1"/>
    <col min="12549" max="12549" width="16.42578125" style="218" bestFit="1" customWidth="1"/>
    <col min="12550" max="12550" width="23.42578125" style="218" customWidth="1"/>
    <col min="12551" max="12551" width="11" style="218" bestFit="1" customWidth="1"/>
    <col min="12552" max="12803" width="9.140625" style="218"/>
    <col min="12804" max="12804" width="13.42578125" style="218" bestFit="1" customWidth="1"/>
    <col min="12805" max="12805" width="16.42578125" style="218" bestFit="1" customWidth="1"/>
    <col min="12806" max="12806" width="23.42578125" style="218" customWidth="1"/>
    <col min="12807" max="12807" width="11" style="218" bestFit="1" customWidth="1"/>
    <col min="12808" max="13059" width="9.140625" style="218"/>
    <col min="13060" max="13060" width="13.42578125" style="218" bestFit="1" customWidth="1"/>
    <col min="13061" max="13061" width="16.42578125" style="218" bestFit="1" customWidth="1"/>
    <col min="13062" max="13062" width="23.42578125" style="218" customWidth="1"/>
    <col min="13063" max="13063" width="11" style="218" bestFit="1" customWidth="1"/>
    <col min="13064" max="13315" width="9.140625" style="218"/>
    <col min="13316" max="13316" width="13.42578125" style="218" bestFit="1" customWidth="1"/>
    <col min="13317" max="13317" width="16.42578125" style="218" bestFit="1" customWidth="1"/>
    <col min="13318" max="13318" width="23.42578125" style="218" customWidth="1"/>
    <col min="13319" max="13319" width="11" style="218" bestFit="1" customWidth="1"/>
    <col min="13320" max="13571" width="9.140625" style="218"/>
    <col min="13572" max="13572" width="13.42578125" style="218" bestFit="1" customWidth="1"/>
    <col min="13573" max="13573" width="16.42578125" style="218" bestFit="1" customWidth="1"/>
    <col min="13574" max="13574" width="23.42578125" style="218" customWidth="1"/>
    <col min="13575" max="13575" width="11" style="218" bestFit="1" customWidth="1"/>
    <col min="13576" max="13827" width="9.140625" style="218"/>
    <col min="13828" max="13828" width="13.42578125" style="218" bestFit="1" customWidth="1"/>
    <col min="13829" max="13829" width="16.42578125" style="218" bestFit="1" customWidth="1"/>
    <col min="13830" max="13830" width="23.42578125" style="218" customWidth="1"/>
    <col min="13831" max="13831" width="11" style="218" bestFit="1" customWidth="1"/>
    <col min="13832" max="14083" width="9.140625" style="218"/>
    <col min="14084" max="14084" width="13.42578125" style="218" bestFit="1" customWidth="1"/>
    <col min="14085" max="14085" width="16.42578125" style="218" bestFit="1" customWidth="1"/>
    <col min="14086" max="14086" width="23.42578125" style="218" customWidth="1"/>
    <col min="14087" max="14087" width="11" style="218" bestFit="1" customWidth="1"/>
    <col min="14088" max="14339" width="9.140625" style="218"/>
    <col min="14340" max="14340" width="13.42578125" style="218" bestFit="1" customWidth="1"/>
    <col min="14341" max="14341" width="16.42578125" style="218" bestFit="1" customWidth="1"/>
    <col min="14342" max="14342" width="23.42578125" style="218" customWidth="1"/>
    <col min="14343" max="14343" width="11" style="218" bestFit="1" customWidth="1"/>
    <col min="14344" max="14595" width="9.140625" style="218"/>
    <col min="14596" max="14596" width="13.42578125" style="218" bestFit="1" customWidth="1"/>
    <col min="14597" max="14597" width="16.42578125" style="218" bestFit="1" customWidth="1"/>
    <col min="14598" max="14598" width="23.42578125" style="218" customWidth="1"/>
    <col min="14599" max="14599" width="11" style="218" bestFit="1" customWidth="1"/>
    <col min="14600" max="14851" width="9.140625" style="218"/>
    <col min="14852" max="14852" width="13.42578125" style="218" bestFit="1" customWidth="1"/>
    <col min="14853" max="14853" width="16.42578125" style="218" bestFit="1" customWidth="1"/>
    <col min="14854" max="14854" width="23.42578125" style="218" customWidth="1"/>
    <col min="14855" max="14855" width="11" style="218" bestFit="1" customWidth="1"/>
    <col min="14856" max="15107" width="9.140625" style="218"/>
    <col min="15108" max="15108" width="13.42578125" style="218" bestFit="1" customWidth="1"/>
    <col min="15109" max="15109" width="16.42578125" style="218" bestFit="1" customWidth="1"/>
    <col min="15110" max="15110" width="23.42578125" style="218" customWidth="1"/>
    <col min="15111" max="15111" width="11" style="218" bestFit="1" customWidth="1"/>
    <col min="15112" max="15363" width="9.140625" style="218"/>
    <col min="15364" max="15364" width="13.42578125" style="218" bestFit="1" customWidth="1"/>
    <col min="15365" max="15365" width="16.42578125" style="218" bestFit="1" customWidth="1"/>
    <col min="15366" max="15366" width="23.42578125" style="218" customWidth="1"/>
    <col min="15367" max="15367" width="11" style="218" bestFit="1" customWidth="1"/>
    <col min="15368" max="15619" width="9.140625" style="218"/>
    <col min="15620" max="15620" width="13.42578125" style="218" bestFit="1" customWidth="1"/>
    <col min="15621" max="15621" width="16.42578125" style="218" bestFit="1" customWidth="1"/>
    <col min="15622" max="15622" width="23.42578125" style="218" customWidth="1"/>
    <col min="15623" max="15623" width="11" style="218" bestFit="1" customWidth="1"/>
    <col min="15624" max="15875" width="9.140625" style="218"/>
    <col min="15876" max="15876" width="13.42578125" style="218" bestFit="1" customWidth="1"/>
    <col min="15877" max="15877" width="16.42578125" style="218" bestFit="1" customWidth="1"/>
    <col min="15878" max="15878" width="23.42578125" style="218" customWidth="1"/>
    <col min="15879" max="15879" width="11" style="218" bestFit="1" customWidth="1"/>
    <col min="15880" max="16131" width="9.140625" style="218"/>
    <col min="16132" max="16132" width="13.42578125" style="218" bestFit="1" customWidth="1"/>
    <col min="16133" max="16133" width="16.42578125" style="218" bestFit="1" customWidth="1"/>
    <col min="16134" max="16134" width="23.42578125" style="218" customWidth="1"/>
    <col min="16135" max="16135" width="11" style="218" bestFit="1" customWidth="1"/>
    <col min="16136" max="16384" width="9.140625" style="218"/>
  </cols>
  <sheetData>
    <row r="1" spans="1:38" ht="20.25" x14ac:dyDescent="0.3">
      <c r="A1" s="219"/>
      <c r="B1" s="220"/>
      <c r="C1" s="219"/>
      <c r="D1" s="220"/>
      <c r="E1" s="219"/>
      <c r="F1" s="219"/>
      <c r="G1" s="219"/>
      <c r="H1" s="77" t="s">
        <v>20</v>
      </c>
      <c r="I1" s="221"/>
      <c r="J1" s="221"/>
      <c r="K1" s="221"/>
      <c r="L1" s="221"/>
      <c r="M1" s="221"/>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row>
    <row r="2" spans="1:38" x14ac:dyDescent="0.2">
      <c r="A2" s="221"/>
      <c r="B2" s="242"/>
      <c r="C2" s="242"/>
      <c r="D2" s="242"/>
      <c r="E2" s="242"/>
      <c r="F2" s="222"/>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row>
    <row r="3" spans="1:38" x14ac:dyDescent="0.2">
      <c r="A3" s="221"/>
      <c r="B3" s="448" t="s">
        <v>229</v>
      </c>
      <c r="C3" s="448"/>
      <c r="D3" s="448"/>
      <c r="E3" s="448"/>
      <c r="F3" s="223" t="s">
        <v>64</v>
      </c>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4" spans="1:38" x14ac:dyDescent="0.2">
      <c r="A4" s="221"/>
      <c r="B4" s="221">
        <v>1</v>
      </c>
      <c r="C4" s="221" t="s">
        <v>233</v>
      </c>
      <c r="D4" s="221">
        <f>CONVERT(1,"GJ","kWh")</f>
        <v>277.77777777777777</v>
      </c>
      <c r="E4" s="221" t="s">
        <v>232</v>
      </c>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row>
    <row r="5" spans="1:38" x14ac:dyDescent="0.2">
      <c r="A5" s="221"/>
      <c r="B5" s="224">
        <v>1</v>
      </c>
      <c r="C5" s="218" t="s">
        <v>234</v>
      </c>
      <c r="D5" s="218">
        <v>1000</v>
      </c>
      <c r="E5" s="218" t="s">
        <v>42</v>
      </c>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1:38" x14ac:dyDescent="0.2">
      <c r="A6" s="221"/>
      <c r="B6" s="225">
        <v>1</v>
      </c>
      <c r="C6" s="218" t="s">
        <v>395</v>
      </c>
      <c r="D6" s="218">
        <f>CONVERT(1, "g", "kg")</f>
        <v>1E-3</v>
      </c>
      <c r="E6" s="218" t="s">
        <v>42</v>
      </c>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row>
    <row r="7" spans="1:38" x14ac:dyDescent="0.2">
      <c r="A7" s="221"/>
      <c r="B7" s="224">
        <v>1</v>
      </c>
      <c r="C7" s="218" t="s">
        <v>233</v>
      </c>
      <c r="D7" s="218">
        <f>1000000</f>
        <v>1000000</v>
      </c>
      <c r="E7" s="218" t="s">
        <v>562</v>
      </c>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row>
    <row r="8" spans="1:38" x14ac:dyDescent="0.2">
      <c r="A8" s="221"/>
      <c r="B8" s="225"/>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row>
    <row r="9" spans="1:38" x14ac:dyDescent="0.2">
      <c r="A9" s="221"/>
      <c r="B9" s="224"/>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row>
    <row r="10" spans="1:38" x14ac:dyDescent="0.2">
      <c r="A10" s="221"/>
      <c r="B10" s="226"/>
      <c r="C10" s="221"/>
      <c r="D10" s="221"/>
      <c r="E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row>
    <row r="11" spans="1:38" x14ac:dyDescent="0.2">
      <c r="A11" s="221"/>
      <c r="B11" s="227"/>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row>
    <row r="12" spans="1:38" x14ac:dyDescent="0.2">
      <c r="A12" s="221"/>
      <c r="B12" s="228"/>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row>
    <row r="13" spans="1:38" x14ac:dyDescent="0.2">
      <c r="A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row>
    <row r="14" spans="1:38" x14ac:dyDescent="0.2">
      <c r="A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row>
    <row r="15" spans="1:38" x14ac:dyDescent="0.2">
      <c r="A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row>
    <row r="16" spans="1:38" x14ac:dyDescent="0.2">
      <c r="A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row>
    <row r="17" spans="1:38" x14ac:dyDescent="0.2">
      <c r="A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row>
    <row r="18" spans="1:38" x14ac:dyDescent="0.2">
      <c r="A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row>
    <row r="19" spans="1:38" x14ac:dyDescent="0.2">
      <c r="A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row>
    <row r="20" spans="1:38" x14ac:dyDescent="0.2">
      <c r="A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row>
    <row r="21" spans="1:38" x14ac:dyDescent="0.2">
      <c r="A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row>
    <row r="22" spans="1:38" x14ac:dyDescent="0.2">
      <c r="A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row>
    <row r="23" spans="1:38" x14ac:dyDescent="0.2">
      <c r="A23" s="221"/>
      <c r="B23" s="221"/>
      <c r="C23" s="221"/>
      <c r="D23" s="221"/>
      <c r="E23" s="221"/>
      <c r="F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row>
    <row r="24" spans="1:38" x14ac:dyDescent="0.2">
      <c r="A24" s="221"/>
      <c r="B24" s="221"/>
      <c r="C24" s="221"/>
      <c r="D24" s="221"/>
      <c r="E24" s="221"/>
      <c r="F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row>
    <row r="25" spans="1:38" x14ac:dyDescent="0.2">
      <c r="A25" s="221"/>
      <c r="B25" s="195"/>
      <c r="C25" s="229"/>
      <c r="D25" s="195"/>
      <c r="E25" s="195"/>
      <c r="F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row>
    <row r="26" spans="1:38" x14ac:dyDescent="0.2">
      <c r="A26" s="221"/>
      <c r="B26" s="230"/>
      <c r="C26" s="231"/>
      <c r="D26" s="195"/>
      <c r="E26" s="195"/>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row>
    <row r="27" spans="1:38" x14ac:dyDescent="0.2">
      <c r="A27" s="221"/>
      <c r="B27" s="230"/>
      <c r="C27" s="231"/>
      <c r="D27" s="195"/>
      <c r="E27" s="195"/>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row>
    <row r="28" spans="1:38" x14ac:dyDescent="0.2">
      <c r="A28" s="221"/>
      <c r="B28" s="230"/>
      <c r="C28" s="231"/>
      <c r="D28" s="195"/>
      <c r="E28" s="195"/>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row>
    <row r="29" spans="1:38" x14ac:dyDescent="0.2">
      <c r="B29" s="230"/>
      <c r="C29" s="221"/>
      <c r="D29" s="221"/>
      <c r="E29" s="221"/>
    </row>
    <row r="30" spans="1:38" x14ac:dyDescent="0.2">
      <c r="B30" s="230"/>
      <c r="C30" s="221"/>
      <c r="D30" s="221"/>
      <c r="E30" s="221"/>
    </row>
    <row r="31" spans="1:38" x14ac:dyDescent="0.2">
      <c r="B31" s="227"/>
      <c r="C31" s="221"/>
      <c r="D31" s="221"/>
      <c r="E31" s="221"/>
    </row>
    <row r="37" spans="10:10" x14ac:dyDescent="0.2">
      <c r="J37" s="232"/>
    </row>
  </sheetData>
  <mergeCells count="1">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6"/>
  <sheetViews>
    <sheetView workbookViewId="0"/>
  </sheetViews>
  <sheetFormatPr defaultColWidth="9.140625" defaultRowHeight="12.75" x14ac:dyDescent="0.2"/>
  <cols>
    <col min="1" max="2" width="9.140625" style="3"/>
    <col min="3" max="3" width="13.140625" style="3" bestFit="1" customWidth="1"/>
    <col min="4" max="4" width="11.140625" style="3" bestFit="1" customWidth="1"/>
    <col min="5" max="11" width="9.140625" style="3"/>
    <col min="12" max="12" width="17.710937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7"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2" t="s">
        <v>230</v>
      </c>
      <c r="D3" s="222" t="s">
        <v>9</v>
      </c>
    </row>
    <row r="4" spans="1:38" ht="15" x14ac:dyDescent="0.2">
      <c r="C4" s="233">
        <v>1</v>
      </c>
      <c r="D4" s="451" t="s">
        <v>388</v>
      </c>
      <c r="E4" s="452"/>
      <c r="F4" s="452"/>
      <c r="G4" s="452"/>
      <c r="H4" s="452"/>
      <c r="I4" s="452"/>
      <c r="J4" s="452"/>
      <c r="K4" s="452"/>
      <c r="L4" s="452"/>
    </row>
    <row r="5" spans="1:38" ht="42.75" customHeight="1" x14ac:dyDescent="0.2">
      <c r="C5" s="233">
        <v>2</v>
      </c>
      <c r="D5" s="451" t="s">
        <v>392</v>
      </c>
      <c r="E5" s="452"/>
      <c r="F5" s="452"/>
      <c r="G5" s="452"/>
      <c r="H5" s="452"/>
      <c r="I5" s="452"/>
      <c r="J5" s="452"/>
      <c r="K5" s="452"/>
      <c r="L5" s="452"/>
    </row>
    <row r="6" spans="1:38" ht="30" customHeight="1" x14ac:dyDescent="0.2">
      <c r="C6" s="233"/>
    </row>
    <row r="7" spans="1:38" x14ac:dyDescent="0.2">
      <c r="C7" s="311"/>
    </row>
    <row r="8" spans="1:38" x14ac:dyDescent="0.2">
      <c r="C8" s="312"/>
      <c r="D8" s="313"/>
      <c r="E8" s="313"/>
      <c r="F8" s="313"/>
      <c r="G8" s="313"/>
      <c r="H8" s="313"/>
      <c r="I8" s="313"/>
      <c r="J8" s="313"/>
      <c r="K8" s="313"/>
      <c r="L8" s="313"/>
    </row>
    <row r="9" spans="1:38" x14ac:dyDescent="0.2">
      <c r="C9" s="312"/>
      <c r="D9" s="313"/>
      <c r="E9" s="313"/>
      <c r="F9" s="313"/>
      <c r="G9" s="313"/>
      <c r="H9" s="313"/>
      <c r="I9" s="313"/>
      <c r="J9" s="313"/>
      <c r="K9" s="313"/>
      <c r="L9" s="313"/>
    </row>
    <row r="10" spans="1:38" ht="15" x14ac:dyDescent="0.2">
      <c r="C10" s="312"/>
      <c r="D10" s="449"/>
      <c r="E10" s="450"/>
      <c r="F10" s="450"/>
      <c r="G10" s="450"/>
      <c r="H10" s="450"/>
      <c r="I10" s="450"/>
      <c r="J10" s="450"/>
      <c r="K10" s="450"/>
      <c r="L10" s="450"/>
    </row>
    <row r="11" spans="1:38" ht="15" x14ac:dyDescent="0.2">
      <c r="C11" s="312"/>
      <c r="D11" s="449"/>
      <c r="E11" s="450"/>
      <c r="F11" s="450"/>
      <c r="G11" s="450"/>
      <c r="H11" s="450"/>
      <c r="I11" s="450"/>
      <c r="J11" s="450"/>
      <c r="K11" s="450"/>
      <c r="L11" s="450"/>
    </row>
    <row r="12" spans="1:38" ht="15" x14ac:dyDescent="0.2">
      <c r="C12" s="312"/>
      <c r="D12" s="449"/>
      <c r="E12" s="450"/>
      <c r="F12" s="450"/>
      <c r="G12" s="450"/>
      <c r="H12" s="450"/>
      <c r="I12" s="450"/>
      <c r="J12" s="450"/>
      <c r="K12" s="450"/>
      <c r="L12" s="450"/>
    </row>
    <row r="13" spans="1:38" ht="15" x14ac:dyDescent="0.2">
      <c r="C13" s="312"/>
      <c r="D13" s="449"/>
      <c r="E13" s="450"/>
      <c r="F13" s="450"/>
      <c r="G13" s="450"/>
      <c r="H13" s="450"/>
      <c r="I13" s="450"/>
      <c r="J13" s="450"/>
      <c r="K13" s="450"/>
      <c r="L13" s="450"/>
    </row>
    <row r="14" spans="1:38" x14ac:dyDescent="0.2">
      <c r="C14" s="313"/>
      <c r="D14" s="313"/>
      <c r="E14" s="313"/>
      <c r="F14" s="313"/>
      <c r="G14" s="313"/>
      <c r="H14" s="313"/>
      <c r="I14" s="313"/>
      <c r="J14" s="313"/>
      <c r="K14" s="313"/>
      <c r="L14" s="313"/>
    </row>
    <row r="15" spans="1:38" x14ac:dyDescent="0.2">
      <c r="C15" s="313"/>
      <c r="D15" s="313"/>
      <c r="E15" s="313"/>
      <c r="F15" s="313"/>
      <c r="G15" s="313"/>
      <c r="H15" s="313"/>
      <c r="I15" s="313"/>
      <c r="J15" s="313"/>
      <c r="K15" s="313"/>
      <c r="L15" s="313"/>
    </row>
    <row r="16" spans="1:38" x14ac:dyDescent="0.2">
      <c r="C16" s="313"/>
      <c r="D16" s="313"/>
      <c r="E16" s="313"/>
      <c r="F16" s="313"/>
      <c r="G16" s="313"/>
      <c r="H16" s="313"/>
      <c r="I16" s="313"/>
      <c r="J16" s="313"/>
      <c r="K16" s="313"/>
      <c r="L16" s="313"/>
    </row>
  </sheetData>
  <mergeCells count="6">
    <mergeCell ref="D10:L10"/>
    <mergeCell ref="D11:L11"/>
    <mergeCell ref="D12:L12"/>
    <mergeCell ref="D13:L13"/>
    <mergeCell ref="D4:L4"/>
    <mergeCell ref="D5:L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90A99041-0A2A-45E6-9BB6-0FF3D273627A}">
  <ds:schemaRefs>
    <ds:schemaRef ds:uri="http://schemas.microsoft.com/sharepoint/v3/contenttype/forms"/>
  </ds:schemaRefs>
</ds:datastoreItem>
</file>

<file path=customXml/itemProps2.xml><?xml version="1.0" encoding="utf-8"?>
<ds:datastoreItem xmlns:ds="http://schemas.openxmlformats.org/officeDocument/2006/customXml" ds:itemID="{AA5EBF87-D53D-40E7-B9A2-0ABA62897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28CB6F-8B9F-484A-B98F-CC83E4538E3A}">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c75d1172-787a-498f-aaff-e17d79596d1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Input</vt:lpstr>
      <vt:lpstr>Electricity</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DS_Stage1_O_Metallothermic_Red_REO_2014.01</dc:title>
  <dc:creator>Matthew B. Jamieson;Schneider_Rachel@bah.com</dc:creator>
  <cp:lastModifiedBy>Matthew B. Jamieson</cp:lastModifiedBy>
  <cp:lastPrinted>2014-06-12T16:37:18Z</cp:lastPrinted>
  <dcterms:created xsi:type="dcterms:W3CDTF">2014-04-25T14:49:18Z</dcterms:created>
  <dcterms:modified xsi:type="dcterms:W3CDTF">2014-12-18T19:00:26Z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