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<sst xmlns="http://schemas.openxmlformats.org/spreadsheetml/2006/main" count="1512" uniqueCount="915">
  <si>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</si>
  <si>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</si>
  <si>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</si>
  <si>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</si>
  <si>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</si>
  <si>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</si>
  <si>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</si>
  <si>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</si>
  <si>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</si>
  <si>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</si>
  <si>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</si>
  <si>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</si>
  <si>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</si>
  <si>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</si>
  <si>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</si>
  <si>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</si>
  <si>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</si>
  <si>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</si>
  <si>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</si>
  <si>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</si>
  <si>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</si>
  <si>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</si>
  <si>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</si>
  <si>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</si>
  <si>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</si>
  <si>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</si>
  <si>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</si>
  <si>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</si>
  <si>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</si>
  <si>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</si>
  <si>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</si>
  <si>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</si>
  <si>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</si>
  <si>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</si>
  <si>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</si>
  <si>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</si>
  <si>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</si>
  <si>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</si>
  <si>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</si>
  <si>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</si>
  <si>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</si>
  <si>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</si>
  <si>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</si>
  <si>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</si>
  <si>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</si>
  <si>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</si>
  <si>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</si>
  <si>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</si>
  <si>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</si>
  <si>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</si>
  <si>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</si>
  <si>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</si>
  <si>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</si>
  <si>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</si>
  <si>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</si>
  <si>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</si>
  <si>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</si>
  <si>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</si>
  <si>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</si>
  <si>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</si>
  <si>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</si>
  <si>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</si>
  <si>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</si>
  <si>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</si>
  <si>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</si>
  <si>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</si>
  <si>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</si>
  <si>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</si>
  <si>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</si>
  <si>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</si>
  <si>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</si>
  <si>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</si>
  <si>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</si>
  <si>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</si>
  <si>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</si>
  <si>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</si>
  <si>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</si>
  <si>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</si>
  <si>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</si>
  <si>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</si>
  <si>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</si>
  <si>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</si>
  <si>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</si>
  <si>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</si>
  <si>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</si>
  <si>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</si>
  <si>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</si>
  <si>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</si>
  <si>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</si>
  <si>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</si>
  <si>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</si>
  <si>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</si>
  <si>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</si>
  <si>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</si>
  <si>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</si>
  <si>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</si>
  <si>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</si>
  <si>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</si>
  <si>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</si>
  <si>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</si>
  <si>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</si>
  <si>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</si>
  <si>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</si>
  <si>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</si>
  <si>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</si>
  <si>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</si>
  <si>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</si>
  <si>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</si>
  <si>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</si>
  <si>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</si>
  <si>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</si>
  <si>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</si>
  <si>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</si>
  <si>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</si>
  <si>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</si>
  <si>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</si>
  <si>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</si>
  <si>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</si>
  <si>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</si>
  <si>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</si>
  <si>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</si>
  <si>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</si>
  <si>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</si>
  <si>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</si>
  <si>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</si>
  <si>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</si>
  <si>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</si>
  <si>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</si>
  <si>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</si>
  <si>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</si>
  <si>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</si>
  <si>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</si>
  <si>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</si>
  <si>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</si>
  <si>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</si>
  <si>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</si>
  <si>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</si>
  <si>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</si>
  <si>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</si>
  <si>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</si>
  <si>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</si>
  <si>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</si>
  <si>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</si>
  <si>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</si>
  <si>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</si>
  <si>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</si>
  <si>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</si>
  <si>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</si>
  <si>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</si>
  <si>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</si>
  <si>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</si>
  <si>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</si>
  <si>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</si>
  <si>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</si>
  <si>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</si>
  <si>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</si>
  <si>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</si>
  <si>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</si>
  <si>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</si>
  <si>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</si>
  <si>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</si>
  <si>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</si>
  <si>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</si>
  <si>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</si>
  <si>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</si>
  <si>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</si>
  <si>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</si>
  <si>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</si>
  <si>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</si>
  <si>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</si>
  <si>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</si>
  <si>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</si>
  <si>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</si>
  <si>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</si>
  <si>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</si>
  <si>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</si>
  <si>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</si>
  <si>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</si>
  <si>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</si>
  <si>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</si>
  <si>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</si>
  <si>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</si>
  <si>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</si>
  <si>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</si>
  <si>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</si>
  <si>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</si>
  <si>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</si>
  <si>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</si>
  <si>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</si>
  <si>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</si>
  <si>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</si>
  <si>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</si>
  <si>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</si>
  <si>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</si>
  <si>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</si>
  <si>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</si>
  <si>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</si>
  <si>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</si>
  <si>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</si>
  <si>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</si>
  <si>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</si>
  <si>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</si>
  <si>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</si>
  <si>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</si>
  <si>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</si>
  <si>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</si>
  <si>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</si>
  <si>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</si>
  <si>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</si>
  <si>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</si>
  <si>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</si>
  <si>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</si>
  <si>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</si>
  <si>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</si>
  <si>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</si>
  <si>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</si>
  <si>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</si>
  <si>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</si>
  <si>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</si>
  <si>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</si>
  <si>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</si>
  <si>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</si>
  <si>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</si>
  <si>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</si>
  <si>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</si>
  <si>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</si>
  <si>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</si>
  <si>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</si>
  <si>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</si>
  <si>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</si>
  <si>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</si>
  <si>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</si>
  <si>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</si>
  <si>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</si>
  <si>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</si>
  <si>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</si>
  <si>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</si>
  <si>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</si>
  <si>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</si>
  <si>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</si>
  <si>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</si>
  <si>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</si>
  <si>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</si>
  <si>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</si>
  <si>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</si>
  <si>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</si>
  <si>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</si>
  <si>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</si>
  <si>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</si>
  <si>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</si>
  <si>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</si>
  <si>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</si>
  <si>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</si>
  <si>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</si>
  <si>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</si>
  <si>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</si>
  <si>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</si>
  <si>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</si>
  <si>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</si>
  <si>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</si>
  <si>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</si>
  <si>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</si>
  <si>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</si>
  <si>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</si>
  <si>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</si>
  <si>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</si>
  <si>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</si>
  <si>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</si>
  <si>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</si>
  <si>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</si>
  <si>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</si>
  <si>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</si>
  <si>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</si>
  <si>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</si>
  <si>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</si>
  <si>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</si>
  <si>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</si>
  <si>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</si>
  <si>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</si>
  <si>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</si>
  <si>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</si>
  <si>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</si>
  <si>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</si>
  <si>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</si>
  <si>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</si>
  <si>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</si>
  <si>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</si>
  <si>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</si>
  <si>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</si>
  <si>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</si>
  <si>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</si>
  <si>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</si>
  <si>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</si>
  <si>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</si>
  <si>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</si>
  <si>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</si>
  <si>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</si>
  <si>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</si>
  <si>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</si>
  <si>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</si>
  <si>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</si>
  <si>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</si>
  <si>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</si>
  <si>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</si>
  <si>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</si>
  <si>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</si>
  <si>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</si>
  <si>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</si>
  <si>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</si>
  <si>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</si>
  <si>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</si>
  <si>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</si>
  <si>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</si>
  <si>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</si>
  <si>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</si>
  <si>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</si>
  <si>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</si>
  <si>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</si>
  <si>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</si>
  <si>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</si>
  <si>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</si>
  <si>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</si>
  <si>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</si>
  <si>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</si>
  <si>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</si>
  <si>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</si>
  <si>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</si>
  <si>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</si>
  <si>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</si>
  <si>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</si>
  <si>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</si>
  <si>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</si>
  <si>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</si>
  <si>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</si>
  <si>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</si>
  <si>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</si>
  <si>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</si>
  <si>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</si>
  <si>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</si>
  <si>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</si>
  <si>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</si>
  <si>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</si>
  <si>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</si>
  <si>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</si>
  <si>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</si>
  <si>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</si>
  <si>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</si>
  <si>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</si>
  <si>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</si>
  <si>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</si>
  <si>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</si>
  <si>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</si>
  <si>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</si>
  <si>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</si>
  <si>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</si>
  <si>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</si>
  <si>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</si>
  <si>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</si>
  <si>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</si>
  <si>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</si>
  <si>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</si>
  <si>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</si>
  <si>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</si>
  <si>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</si>
  <si>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</si>
  <si>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</si>
  <si>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</si>
  <si>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</si>
  <si>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</si>
  <si>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</si>
  <si>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</si>
  <si>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</si>
  <si>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</si>
  <si>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</si>
  <si>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</si>
  <si>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</si>
  <si>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</si>
  <si>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</si>
  <si>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</si>
  <si>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</si>
  <si>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</si>
  <si>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</si>
  <si>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</si>
  <si>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</si>
  <si>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</si>
  <si>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</si>
  <si>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</si>
  <si>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</si>
  <si>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</si>
  <si>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</si>
  <si>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</si>
  <si>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</si>
  <si>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</si>
  <si>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</si>
  <si>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</si>
  <si>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</si>
  <si>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</si>
  <si>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</si>
  <si>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</si>
  <si>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</si>
  <si>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</si>
  <si>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</si>
  <si>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</si>
  <si>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</si>
  <si>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</si>
  <si>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</si>
  <si>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</si>
  <si>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</si>
  <si>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</si>
  <si>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</si>
  <si>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</si>
  <si>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</si>
  <si>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</si>
  <si>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</si>
  <si>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</si>
  <si>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</si>
  <si>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</si>
  <si>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</si>
  <si>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</si>
  <si>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</si>
  <si>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</si>
  <si>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</si>
  <si>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</si>
  <si>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</si>
  <si>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</si>
  <si>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</si>
  <si>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</si>
  <si>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</si>
  <si>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</si>
  <si>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</si>
  <si>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</si>
  <si>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</si>
  <si>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</si>
  <si>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</si>
  <si>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</si>
  <si>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</si>
  <si>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</si>
  <si>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</si>
  <si>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</si>
  <si>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</si>
  <si>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</si>
  <si>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</si>
  <si>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</si>
  <si>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</si>
  <si>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</si>
  <si>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</si>
  <si>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</si>
  <si>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</si>
  <si>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</si>
  <si>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</si>
  <si>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</si>
  <si>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</si>
  <si>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</si>
  <si>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</si>
  <si>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</si>
  <si>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</si>
  <si>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</si>
  <si>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</si>
  <si>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</si>
  <si>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</si>
  <si>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</si>
  <si>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</si>
  <si>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</si>
  <si>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</si>
  <si>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</si>
  <si>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</si>
  <si>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</si>
  <si>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</si>
  <si>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</si>
  <si>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</si>
  <si>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</si>
  <si>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</si>
  <si>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</si>
  <si>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</si>
  <si>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</si>
  <si>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</si>
  <si>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</si>
  <si>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</si>
  <si>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</si>
  <si>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</si>
  <si>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</si>
  <si>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</si>
  <si>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</si>
  <si>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</si>
  <si>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</si>
  <si>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</si>
  <si>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</si>
  <si>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</si>
  <si>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</si>
  <si>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</si>
  <si>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</si>
  <si>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</si>
  <si>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</si>
  <si>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</si>
  <si>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</si>
  <si>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</si>
  <si>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</si>
  <si>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</si>
  <si>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</si>
  <si>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</si>
  <si>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</si>
  <si>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</si>
  <si>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</si>
  <si>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</si>
  <si>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</si>
  <si>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</si>
  <si>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</si>
  <si>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</si>
  <si>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</si>
  <si>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</si>
  <si>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</si>
  <si>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</si>
  <si>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</si>
  <si>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</si>
  <si>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</si>
  <si>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</si>
  <si>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</si>
  <si>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</si>
  <si>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</si>
  <si>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</si>
  <si>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</si>
  <si>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</si>
  <si>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</si>
  <si>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</si>
  <si>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</si>
  <si>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</si>
  <si>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</si>
  <si>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</si>
  <si>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</si>
  <si>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</si>
  <si>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</si>
  <si>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</si>
  <si>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</si>
  <si>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</si>
  <si>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</si>
  <si>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</si>
  <si>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</si>
  <si>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</si>
  <si>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</si>
  <si>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</si>
  <si>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</si>
  <si>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</si>
  <si>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</si>
  <si>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</si>
  <si>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</si>
  <si>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</si>
  <si>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</si>
  <si>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</si>
  <si>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</si>
  <si>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</si>
  <si>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</si>
  <si>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</si>
  <si>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</si>
  <si>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</si>
  <si>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</si>
  <si>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</si>
  <si>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</si>
  <si>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</si>
  <si>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</si>
  <si>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</si>
  <si>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</si>
  <si>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</si>
  <si>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</si>
  <si>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</si>
  <si>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</si>
  <si>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</si>
  <si>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</si>
  <si>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</si>
  <si>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</si>
  <si>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</si>
  <si>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</si>
  <si>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</si>
  <si>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</si>
  <si>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</si>
  <si>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</si>
  <si>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</si>
  <si>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</si>
  <si>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</si>
  <si>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</si>
  <si>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</si>
  <si>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</si>
  <si>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</si>
  <si>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</si>
  <si>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</si>
  <si>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</si>
  <si>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</si>
  <si>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</si>
  <si>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</si>
  <si>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</si>
  <si>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</si>
  <si>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</si>
  <si>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</si>
  <si>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</si>
  <si>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</si>
  <si>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</si>
  <si>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</si>
  <si>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</si>
  <si>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</si>
  <si>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</si>
  <si>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</si>
  <si>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</si>
  <si>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</si>
  <si>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</si>
  <si>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</si>
  <si>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</si>
  <si>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</si>
  <si>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</si>
  <si>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</si>
  <si>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</si>
  <si>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</si>
  <si>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</si>
  <si>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</si>
  <si>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</si>
  <si>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</si>
  <si>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</si>
  <si>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</si>
  <si>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</si>
  <si>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</si>
  <si>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</si>
  <si>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</si>
  <si>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</si>
  <si>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</si>
  <si>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</si>
  <si>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</si>
  <si>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</si>
  <si>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</si>
  <si>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</si>
  <si>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</si>
  <si>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</si>
  <si>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</si>
  <si>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</si>
  <si>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</si>
  <si>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</si>
  <si>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</si>
  <si>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</si>
  <si>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</si>
  <si>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</si>
  <si>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</si>
  <si>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</si>
  <si>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</si>
  <si>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</si>
  <si>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</si>
  <si>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</si>
  <si>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</si>
  <si>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</si>
  <si>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</si>
  <si>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</si>
  <si>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</si>
  <si>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</si>
  <si>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</si>
  <si>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</si>
  <si>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</si>
  <si>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</si>
  <si>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</si>
  <si>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</si>
  <si>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</si>
  <si>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</si>
  <si>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</si>
  <si>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</si>
  <si>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</si>
  <si>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</si>
  <si>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</si>
  <si>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</si>
  <si>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</si>
  <si>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</si>
  <si>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</si>
  <si>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</si>
  <si>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</si>
  <si>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</si>
  <si>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</si>
  <si>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</si>
  <si>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</si>
  <si>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</si>
  <si>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</si>
  <si>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</si>
  <si>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</si>
  <si>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</si>
  <si>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</si>
  <si>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</si>
  <si>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</si>
  <si>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</si>
  <si>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</si>
  <si>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</si>
  <si>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</si>
  <si>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</si>
  <si>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</si>
  <si>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</si>
  <si>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</si>
  <si>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</si>
  <si>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</si>
  <si>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</si>
  <si>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</si>
  <si>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</si>
  <si>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</si>
  <si>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</si>
  <si>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</si>
  <si>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</si>
  <si>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</si>
  <si>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</si>
  <si>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</si>
  <si>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</si>
  <si>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</si>
  <si>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</si>
  <si>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</si>
  <si>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</si>
  <si>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</si>
  <si>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</si>
  <si>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</si>
  <si>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</si>
  <si>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</si>
  <si>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</si>
  <si>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</si>
  <si>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</si>
  <si>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</si>
  <si>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</si>
  <si>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</si>
  <si>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</si>
  <si>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</si>
  <si>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</si>
  <si>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</si>
  <si>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</si>
  <si>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</si>
  <si>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</si>
  <si>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</si>
  <si>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</si>
  <si>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</si>
  <si>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</si>
  <si>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</si>
  <si>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</si>
  <si>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</si>
  <si>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</si>
  <si>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</si>
  <si>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</si>
  <si>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</si>
  <si>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</si>
  <si>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</si>
  <si>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</si>
  <si>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</si>
  <si>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</si>
  <si>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</si>
  <si>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</si>
  <si>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</si>
  <si>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</si>
  <si>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</si>
  <si>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</si>
  <si>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</si>
  <si>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</si>
  <si>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</si>
  <si>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</si>
  <si>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</si>
  <si>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</si>
  <si>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</si>
  <si>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</si>
  <si>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</si>
  <si>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</si>
  <si>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</si>
  <si>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</si>
  <si>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</si>
  <si>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</si>
  <si>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</si>
  <si>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</si>
  <si>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</si>
  <si>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</si>
  <si>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</si>
  <si>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</si>
  <si>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</si>
  <si>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</si>
  <si>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</si>
  <si>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</si>
  <si>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</si>
  <si>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</si>
  <si>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</si>
  <si>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</si>
  <si>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</si>
  <si>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</si>
  <si>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</si>
  <si>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</si>
  <si>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</si>
  <si>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</si>
  <si>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</si>
  <si>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</si>
  <si>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</si>
  <si>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</si>
  <si>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</si>
  <si>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</si>
  <si>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</si>
  <si>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</si>
  <si>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</si>
  <si>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</si>
  <si>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</si>
  <si>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</si>
  <si>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</si>
  <si>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</si>
  <si>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</si>
  <si>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</si>
  <si>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</si>
  <si>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</si>
  <si>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</si>
  <si>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</si>
  <si>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</si>
  <si>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</si>
  <si>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</si>
  <si>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</si>
  <si>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</si>
  <si>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</si>
  <si>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</si>
  <si>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</si>
  <si>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</si>
  <si>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</si>
  <si>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</si>
  <si>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</si>
  <si>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</si>
  <si>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</si>
  <si>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</si>
  <si>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</si>
  <si>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</si>
  <si>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</si>
  <si>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</si>
  <si>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</si>
  <si>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</si>
  <si>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</si>
  <si>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</si>
  <si>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</si>
  <si>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</si>
  <si>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</si>
  <si>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</si>
  <si>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</si>
  <si>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</si>
  <si>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</si>
  <si>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</si>
  <si>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</si>
  <si>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</si>
  <si>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</si>
  <si>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</si>
  <si>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</si>
  <si>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</si>
  <si>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</si>
  <si>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</si>
  <si>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</si>
  <si>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</si>
  <si>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</si>
  <si>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</si>
  <si>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</si>
  <si>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</si>
  <si>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</si>
  <si>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</si>
  <si>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</si>
  <si>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</si>
  <si>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</si>
  <si>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</si>
  <si>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</si>
  <si>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</si>
  <si>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</si>
  <si>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</si>
  <si>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</si>
  <si>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</si>
  <si>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</si>
  <si>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</si>
  <si>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</si>
  <si>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</si>
  <si>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</si>
  <si>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</si>
  <si>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</si>
  <si>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</si>
  <si>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</si>
  <si>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</si>
  <si>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</si>
  <si>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</si>
  <si>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</si>
  <si>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</si>
  <si>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</si>
  <si>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</si>
  <si>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</si>
  <si>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</si>
  <si>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</si>
  <si>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</si>
  <si>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</si>
  <si>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</si>
  <si>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</si>
  <si>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</si>
  <si>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</si>
  <si>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</si>
  <si>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</si>
  <si>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</si>
  <si>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</si>
  <si>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</si>
  <si>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</si>
  <si>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</si>
  <si>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</si>
  <si>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</si>
  <si>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</si>
  <si>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</si>
  <si>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</si>
  <si>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</si>
  <si>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Surface Mine, Northern Appalachia Bituminous Coal, Operations</t>
  </si>
  <si>
    <t>Northern Appalachia Bituminous Coal</t>
  </si>
  <si>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</si>
  <si>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Northern Appalachia Bituminous Coal, Operation. </t>
    </r>
    <r>
      <rPr>
        <sz val="10"/>
        <rFont val="Arial"/>
        <family val="2"/>
      </rPr>
      <t>U.S. Department of Energy, National Energy Technology Laboratory. Last Updated: July 2011 (version 01). www.netl.doe.gov/energy-analyses (http://www.netl.doe.gov/energy-analyses)</t>
    </r>
  </si>
  <si>
    <t>It is assumed that approximately 80% of the coalbed methane is practically extractable using standard coal mine methane recovery techniques (DBD), and that all of the remaining 20% is released during the mining and coal cleaning processes</t>
  </si>
  <si>
    <r>
      <t xml:space="preserve">This unit process is composed of this document and the file, </t>
    </r>
    <r>
      <rPr>
        <i/>
        <sz val="10"/>
        <rFont val="Arial"/>
        <family val="2"/>
      </rPr>
      <t>DF_Stage1_O_Surface_Coal_Mine_NorthAppBit_2011.01.doc</t>
    </r>
    <r>
      <rPr>
        <sz val="10"/>
        <rFont val="Tahoma"/>
        <family val="2"/>
      </rPr>
      <t xml:space="preserve">, which provides additional details regarding calculations, data quality, and references as relevant. </t>
    </r>
  </si>
  <si>
    <t>Based on a compilation of mines, a surface mine for Northern Appalachia bituminous coal, producing ~6 billion kg of coal per year. Assumes 59.5 scf/short ton coal mine CH4 (CMM) emissions, adjustable CMM capture rates; LHV=12440 Btu/lb.</t>
  </si>
  <si>
    <t>Reference [20], Annex 3, page A-144, Table A-116</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</si>
  <si>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</si>
  <si>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</si>
  <si>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</si>
  <si>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</si>
  <si>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</si>
  <si>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</si>
  <si>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</si>
  <si>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</si>
  <si>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http://epa.gov/climatechange/emissions/downloads11/US-GHG-Inventory-2011-Annex_Complete_Report.pdf</t>
  </si>
  <si>
    <t>Individual Coal Basins</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</si>
  <si>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</si>
  <si>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</si>
  <si>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North East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</si>
</sst>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8">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0" xfId="0" applyFont="1" applyAlignment="1">
      <alignment horizontal="left"/>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0" borderId="13" xfId="0" applyBorder="1" applyAlignment="1" applyProtection="1">
      <alignment horizontal="left"/>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1" xfId="0" applyFont="1" applyBorder="1" applyAlignment="1">
      <alignment wrapText="1"/>
    </xf>
    <xf numFmtId="0" fontId="8" fillId="0" borderId="22" xfId="0" applyFont="1" applyBorder="1" applyAlignment="1">
      <alignment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8" xfId="0"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Northern Appalachia Bitumious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Northern Appalachia 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0" t="s">
        <v>890</v>
      </c>
      <c r="B1" s="320"/>
      <c r="C1" s="320"/>
      <c r="D1" s="320"/>
      <c r="E1" s="320"/>
      <c r="F1" s="320"/>
      <c r="G1" s="320"/>
      <c r="H1" s="320"/>
      <c r="I1" s="320"/>
      <c r="J1" s="320"/>
      <c r="K1" s="320"/>
      <c r="L1" s="320"/>
      <c r="M1" s="320"/>
      <c r="N1" s="320"/>
      <c r="O1" s="151"/>
    </row>
    <row r="2" spans="1:15" ht="21" thickBot="1">
      <c r="A2" s="320" t="s">
        <v>210</v>
      </c>
      <c r="B2" s="320"/>
      <c r="C2" s="320"/>
      <c r="D2" s="320"/>
      <c r="E2" s="320"/>
      <c r="F2" s="320"/>
      <c r="G2" s="320"/>
      <c r="H2" s="320"/>
      <c r="I2" s="320"/>
      <c r="J2" s="320"/>
      <c r="K2" s="320"/>
      <c r="L2" s="320"/>
      <c r="M2" s="320"/>
      <c r="N2" s="320"/>
      <c r="O2" s="151"/>
    </row>
    <row r="3" spans="2:15" ht="12.75" customHeight="1" thickBot="1">
      <c r="B3" s="5"/>
      <c r="C3" s="126" t="s">
        <v>279</v>
      </c>
      <c r="D3" s="143" t="str">
        <f>'Data Summary'!D4</f>
        <v>Surface Mine, Northern Appalachia Bituminous Coal, Operations</v>
      </c>
      <c r="E3" s="144"/>
      <c r="F3" s="144"/>
      <c r="G3" s="144"/>
      <c r="H3" s="144"/>
      <c r="I3" s="144"/>
      <c r="J3" s="144"/>
      <c r="K3" s="144"/>
      <c r="L3" s="144"/>
      <c r="M3" s="145"/>
      <c r="N3" s="5"/>
      <c r="O3" s="5"/>
    </row>
    <row r="4" spans="2:15" ht="42.75" customHeight="1" thickBot="1">
      <c r="B4" s="5"/>
      <c r="C4" s="126" t="s">
        <v>280</v>
      </c>
      <c r="D4" s="324" t="str">
        <f>'Data Summary'!D6</f>
        <v>Based on a compilation of mines, a surface mine for Northern Appalachia bituminous coal, producing ~6 billion kg of coal per year. Assumes 59.5 scf/short ton coal mine CH4 (CMM) emissions, adjustable CMM capture rates; LHV=12440 Btu/lb.</v>
      </c>
      <c r="E4" s="322"/>
      <c r="F4" s="322"/>
      <c r="G4" s="322"/>
      <c r="H4" s="322"/>
      <c r="I4" s="322"/>
      <c r="J4" s="322"/>
      <c r="K4" s="322"/>
      <c r="L4" s="322"/>
      <c r="M4" s="323"/>
      <c r="N4" s="5"/>
      <c r="O4" s="5"/>
    </row>
    <row r="5" spans="2:15" ht="39" customHeight="1" thickBot="1">
      <c r="B5" s="5"/>
      <c r="C5" s="126" t="s">
        <v>281</v>
      </c>
      <c r="D5" s="321" t="s">
        <v>899</v>
      </c>
      <c r="E5" s="322"/>
      <c r="F5" s="322"/>
      <c r="G5" s="322"/>
      <c r="H5" s="322"/>
      <c r="I5" s="322"/>
      <c r="J5" s="322"/>
      <c r="K5" s="322"/>
      <c r="L5" s="322"/>
      <c r="M5" s="323"/>
      <c r="N5" s="5"/>
      <c r="O5" s="5"/>
    </row>
    <row r="6" spans="2:15" ht="56.25" customHeight="1" thickBot="1">
      <c r="B6" s="5"/>
      <c r="C6" s="146" t="s">
        <v>284</v>
      </c>
      <c r="D6" s="324" t="s">
        <v>290</v>
      </c>
      <c r="E6" s="322"/>
      <c r="F6" s="322"/>
      <c r="G6" s="322"/>
      <c r="H6" s="322"/>
      <c r="I6" s="322"/>
      <c r="J6" s="322"/>
      <c r="K6" s="322"/>
      <c r="L6" s="322"/>
      <c r="M6" s="323"/>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25" t="s">
        <v>219</v>
      </c>
      <c r="C9" s="307" t="s">
        <v>213</v>
      </c>
      <c r="D9" s="331" t="s">
        <v>289</v>
      </c>
      <c r="E9" s="331"/>
      <c r="F9" s="331"/>
      <c r="G9" s="331"/>
      <c r="H9" s="331"/>
      <c r="I9" s="331"/>
      <c r="J9" s="331"/>
      <c r="K9" s="331"/>
      <c r="L9" s="331"/>
      <c r="M9" s="332"/>
      <c r="N9" s="5"/>
      <c r="O9" s="5"/>
      <c r="P9" s="5"/>
      <c r="Q9" s="5"/>
      <c r="R9" s="5"/>
      <c r="S9" s="5"/>
      <c r="T9" s="5"/>
      <c r="U9" s="5"/>
      <c r="V9" s="5"/>
      <c r="W9" s="5"/>
      <c r="X9" s="5"/>
      <c r="Y9" s="5"/>
      <c r="Z9" s="5"/>
      <c r="AA9" s="5"/>
    </row>
    <row r="10" spans="1:27" s="50" customFormat="1" ht="15" customHeight="1">
      <c r="A10" s="5"/>
      <c r="B10" s="326"/>
      <c r="C10" s="308" t="s">
        <v>214</v>
      </c>
      <c r="D10" s="333" t="s">
        <v>278</v>
      </c>
      <c r="E10" s="333"/>
      <c r="F10" s="333"/>
      <c r="G10" s="333"/>
      <c r="H10" s="333"/>
      <c r="I10" s="333"/>
      <c r="J10" s="333"/>
      <c r="K10" s="333"/>
      <c r="L10" s="333"/>
      <c r="M10" s="334"/>
      <c r="N10" s="5"/>
      <c r="O10" s="5"/>
      <c r="P10" s="5"/>
      <c r="Q10" s="5"/>
      <c r="R10" s="5"/>
      <c r="S10" s="5"/>
      <c r="T10" s="5"/>
      <c r="U10" s="5"/>
      <c r="V10" s="5"/>
      <c r="W10" s="5"/>
      <c r="X10" s="5"/>
      <c r="Y10" s="5"/>
      <c r="Z10" s="5"/>
      <c r="AA10" s="5"/>
    </row>
    <row r="11" spans="1:27" s="50" customFormat="1" ht="15" customHeight="1">
      <c r="A11" s="5"/>
      <c r="B11" s="326"/>
      <c r="C11" s="308" t="s">
        <v>47</v>
      </c>
      <c r="D11" s="333" t="s">
        <v>216</v>
      </c>
      <c r="E11" s="333"/>
      <c r="F11" s="333"/>
      <c r="G11" s="333"/>
      <c r="H11" s="333"/>
      <c r="I11" s="333"/>
      <c r="J11" s="333"/>
      <c r="K11" s="333"/>
      <c r="L11" s="333"/>
      <c r="M11" s="334"/>
      <c r="N11" s="5"/>
      <c r="O11" s="5"/>
      <c r="P11" s="5"/>
      <c r="Q11" s="5"/>
      <c r="R11" s="5"/>
      <c r="S11" s="5"/>
      <c r="T11" s="5"/>
      <c r="U11" s="5"/>
      <c r="V11" s="5"/>
      <c r="W11" s="5"/>
      <c r="X11" s="5"/>
      <c r="Y11" s="5"/>
      <c r="Z11" s="5"/>
      <c r="AA11" s="5"/>
    </row>
    <row r="12" spans="2:15" ht="15" customHeight="1">
      <c r="B12" s="327" t="s">
        <v>202</v>
      </c>
      <c r="C12" s="309" t="s">
        <v>794</v>
      </c>
      <c r="D12" s="329" t="s">
        <v>808</v>
      </c>
      <c r="E12" s="329"/>
      <c r="F12" s="329"/>
      <c r="G12" s="329"/>
      <c r="H12" s="329"/>
      <c r="I12" s="329"/>
      <c r="J12" s="329"/>
      <c r="K12" s="329"/>
      <c r="L12" s="329"/>
      <c r="M12" s="330"/>
      <c r="N12" s="5"/>
      <c r="O12" s="5"/>
    </row>
    <row r="13" spans="2:15" ht="15" customHeight="1">
      <c r="B13" s="327"/>
      <c r="C13" s="309" t="s">
        <v>795</v>
      </c>
      <c r="D13" s="329" t="s">
        <v>807</v>
      </c>
      <c r="E13" s="329"/>
      <c r="F13" s="329"/>
      <c r="G13" s="329"/>
      <c r="H13" s="329"/>
      <c r="I13" s="329"/>
      <c r="J13" s="329"/>
      <c r="K13" s="329"/>
      <c r="L13" s="329"/>
      <c r="M13" s="330"/>
      <c r="N13" s="5"/>
      <c r="O13" s="5"/>
    </row>
    <row r="14" spans="2:15" ht="15" customHeight="1">
      <c r="B14" s="327"/>
      <c r="C14" s="309" t="s">
        <v>182</v>
      </c>
      <c r="D14" s="329" t="s">
        <v>802</v>
      </c>
      <c r="E14" s="329"/>
      <c r="F14" s="329"/>
      <c r="G14" s="329"/>
      <c r="H14" s="329"/>
      <c r="I14" s="329"/>
      <c r="J14" s="329"/>
      <c r="K14" s="329"/>
      <c r="L14" s="329"/>
      <c r="M14" s="330"/>
      <c r="N14" s="5"/>
      <c r="O14" s="5"/>
    </row>
    <row r="15" spans="2:15" ht="15" customHeight="1">
      <c r="B15" s="327"/>
      <c r="C15" s="309" t="s">
        <v>796</v>
      </c>
      <c r="D15" s="329" t="s">
        <v>803</v>
      </c>
      <c r="E15" s="329"/>
      <c r="F15" s="329"/>
      <c r="G15" s="329"/>
      <c r="H15" s="329"/>
      <c r="I15" s="329"/>
      <c r="J15" s="329"/>
      <c r="K15" s="329"/>
      <c r="L15" s="329"/>
      <c r="M15" s="330"/>
      <c r="N15" s="5"/>
      <c r="O15" s="5"/>
    </row>
    <row r="16" spans="2:15" ht="15" customHeight="1">
      <c r="B16" s="327"/>
      <c r="C16" s="309" t="s">
        <v>797</v>
      </c>
      <c r="D16" s="329" t="s">
        <v>804</v>
      </c>
      <c r="E16" s="329"/>
      <c r="F16" s="329"/>
      <c r="G16" s="329"/>
      <c r="H16" s="329"/>
      <c r="I16" s="329"/>
      <c r="J16" s="329"/>
      <c r="K16" s="329"/>
      <c r="L16" s="329"/>
      <c r="M16" s="330"/>
      <c r="N16" s="5"/>
      <c r="O16" s="5"/>
    </row>
    <row r="17" spans="2:15" ht="15" customHeight="1">
      <c r="B17" s="327"/>
      <c r="C17" s="309" t="s">
        <v>798</v>
      </c>
      <c r="D17" s="329" t="s">
        <v>217</v>
      </c>
      <c r="E17" s="329"/>
      <c r="F17" s="329"/>
      <c r="G17" s="329"/>
      <c r="H17" s="329"/>
      <c r="I17" s="329"/>
      <c r="J17" s="329"/>
      <c r="K17" s="329"/>
      <c r="L17" s="329"/>
      <c r="M17" s="330"/>
      <c r="N17" s="5"/>
      <c r="O17" s="5"/>
    </row>
    <row r="18" spans="2:15" ht="15" customHeight="1">
      <c r="B18" s="327"/>
      <c r="C18" s="309" t="s">
        <v>799</v>
      </c>
      <c r="D18" s="329" t="s">
        <v>805</v>
      </c>
      <c r="E18" s="329"/>
      <c r="F18" s="329"/>
      <c r="G18" s="329"/>
      <c r="H18" s="329"/>
      <c r="I18" s="329"/>
      <c r="J18" s="329"/>
      <c r="K18" s="329"/>
      <c r="L18" s="329"/>
      <c r="M18" s="330"/>
      <c r="N18" s="5"/>
      <c r="O18" s="5"/>
    </row>
    <row r="19" spans="2:15" ht="15" customHeight="1">
      <c r="B19" s="327"/>
      <c r="C19" s="309" t="s">
        <v>800</v>
      </c>
      <c r="D19" s="337" t="s">
        <v>896</v>
      </c>
      <c r="E19" s="329"/>
      <c r="F19" s="329"/>
      <c r="G19" s="329"/>
      <c r="H19" s="329"/>
      <c r="I19" s="329"/>
      <c r="J19" s="329"/>
      <c r="K19" s="329"/>
      <c r="L19" s="329"/>
      <c r="M19" s="330"/>
      <c r="N19" s="5"/>
      <c r="O19" s="5"/>
    </row>
    <row r="20" spans="2:15" ht="15" customHeight="1">
      <c r="B20" s="327"/>
      <c r="C20" s="309" t="s">
        <v>801</v>
      </c>
      <c r="D20" s="329" t="s">
        <v>806</v>
      </c>
      <c r="E20" s="329"/>
      <c r="F20" s="329"/>
      <c r="G20" s="329"/>
      <c r="H20" s="329"/>
      <c r="I20" s="329"/>
      <c r="J20" s="329"/>
      <c r="K20" s="329"/>
      <c r="L20" s="329"/>
      <c r="M20" s="330"/>
      <c r="N20" s="5"/>
      <c r="O20" s="5"/>
    </row>
    <row r="21" spans="2:15" ht="15" customHeight="1">
      <c r="B21" s="327"/>
      <c r="C21" s="309" t="s">
        <v>215</v>
      </c>
      <c r="D21" s="329" t="s">
        <v>218</v>
      </c>
      <c r="E21" s="329"/>
      <c r="F21" s="329"/>
      <c r="G21" s="329"/>
      <c r="H21" s="329"/>
      <c r="I21" s="329"/>
      <c r="J21" s="329"/>
      <c r="K21" s="329"/>
      <c r="L21" s="329"/>
      <c r="M21" s="330"/>
      <c r="N21" s="5"/>
      <c r="O21" s="5"/>
    </row>
    <row r="22" spans="2:15" ht="15" customHeight="1">
      <c r="B22" s="327"/>
      <c r="C22" s="310" t="s">
        <v>204</v>
      </c>
      <c r="D22" s="337" t="s">
        <v>204</v>
      </c>
      <c r="E22" s="329"/>
      <c r="F22" s="329"/>
      <c r="G22" s="329"/>
      <c r="H22" s="329"/>
      <c r="I22" s="329"/>
      <c r="J22" s="329"/>
      <c r="K22" s="329"/>
      <c r="L22" s="329"/>
      <c r="M22" s="330"/>
      <c r="N22" s="5"/>
      <c r="O22" s="5"/>
    </row>
    <row r="23" spans="2:15" ht="15" customHeight="1" thickBot="1">
      <c r="B23" s="328"/>
      <c r="C23" s="311" t="s">
        <v>888</v>
      </c>
      <c r="D23" s="338" t="s">
        <v>889</v>
      </c>
      <c r="E23" s="339"/>
      <c r="F23" s="339"/>
      <c r="G23" s="339"/>
      <c r="H23" s="339"/>
      <c r="I23" s="339"/>
      <c r="J23" s="339"/>
      <c r="K23" s="339"/>
      <c r="L23" s="339"/>
      <c r="M23" s="340"/>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35" t="s">
        <v>897</v>
      </c>
      <c r="D26" s="336"/>
      <c r="E26" s="336"/>
      <c r="F26" s="336"/>
      <c r="G26" s="336"/>
      <c r="H26" s="336"/>
      <c r="I26" s="336"/>
      <c r="J26" s="336"/>
      <c r="K26" s="336"/>
      <c r="L26" s="336"/>
      <c r="M26" s="336"/>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C26:M26"/>
    <mergeCell ref="D14:M14"/>
    <mergeCell ref="D19:M19"/>
    <mergeCell ref="D21:M21"/>
    <mergeCell ref="D13:M13"/>
    <mergeCell ref="D23:M23"/>
    <mergeCell ref="D22:M22"/>
    <mergeCell ref="D10:M10"/>
    <mergeCell ref="D11:M11"/>
    <mergeCell ref="D20:M20"/>
    <mergeCell ref="D16:M16"/>
    <mergeCell ref="D12:M12"/>
    <mergeCell ref="D15:M15"/>
    <mergeCell ref="A1:N1"/>
    <mergeCell ref="A2:N2"/>
    <mergeCell ref="D5:M5"/>
    <mergeCell ref="D6:M6"/>
    <mergeCell ref="B9:B11"/>
    <mergeCell ref="B12:B23"/>
    <mergeCell ref="D17:M17"/>
    <mergeCell ref="D18:M18"/>
    <mergeCell ref="D4:M4"/>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70" t="s">
        <v>848</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6" t="s">
        <v>877</v>
      </c>
      <c r="B6" s="291" t="s">
        <v>100</v>
      </c>
      <c r="C6" s="291" t="s">
        <v>108</v>
      </c>
    </row>
    <row r="7" spans="1:17" ht="12.75" customHeight="1">
      <c r="A7" s="47" t="s">
        <v>548</v>
      </c>
      <c r="B7">
        <v>650000</v>
      </c>
      <c r="C7" s="47" t="s">
        <v>547</v>
      </c>
      <c r="I7" s="48" t="s">
        <v>846</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5" t="s">
        <v>548</v>
      </c>
      <c r="B12" s="292">
        <f>B9/B11</f>
        <v>0.0008928357226170888</v>
      </c>
      <c r="C12" s="295"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64" t="s">
        <v>553</v>
      </c>
      <c r="B18" s="364"/>
      <c r="C18" s="364"/>
      <c r="D18" s="364"/>
      <c r="E18" s="364"/>
      <c r="F18" s="364"/>
      <c r="I18" s="87" t="s">
        <v>847</v>
      </c>
    </row>
    <row r="19" spans="2:6" ht="12.75">
      <c r="B19">
        <v>10.1</v>
      </c>
      <c r="C19" s="47" t="s">
        <v>555</v>
      </c>
      <c r="E19" s="47"/>
      <c r="F19" s="48"/>
    </row>
    <row r="20" spans="2:5" ht="12.75">
      <c r="B20">
        <f>B8/B9</f>
        <v>0.3109481833568406</v>
      </c>
      <c r="C20" s="47" t="s">
        <v>556</v>
      </c>
      <c r="D20" s="48"/>
      <c r="E20" s="47"/>
    </row>
    <row r="21" spans="2:5" ht="12.75">
      <c r="B21" s="292">
        <f>B19/Conversions!D28</f>
        <v>3.146417445482866</v>
      </c>
      <c r="C21" s="300" t="s">
        <v>557</v>
      </c>
      <c r="D21" s="48"/>
      <c r="E21" s="47"/>
    </row>
    <row r="22" ht="12.75">
      <c r="I22" s="48" t="s">
        <v>846</v>
      </c>
    </row>
    <row r="23" spans="10:15" ht="12.75" customHeight="1">
      <c r="J23" s="417" t="s">
        <v>558</v>
      </c>
      <c r="K23" s="417"/>
      <c r="L23" s="417"/>
      <c r="M23" s="417"/>
      <c r="N23" s="417"/>
      <c r="O23" s="417"/>
    </row>
    <row r="24" spans="10:15" ht="12.75">
      <c r="J24" s="417"/>
      <c r="K24" s="417"/>
      <c r="L24" s="417"/>
      <c r="M24" s="417"/>
      <c r="N24" s="417"/>
      <c r="O24" s="417"/>
    </row>
    <row r="25" ht="12.75" customHeight="1">
      <c r="E25" s="47"/>
    </row>
    <row r="26" spans="2:15" ht="12.75">
      <c r="B26" s="47"/>
      <c r="C26" s="47"/>
      <c r="D26" s="48"/>
      <c r="E26" s="47"/>
      <c r="J26" s="417" t="s">
        <v>559</v>
      </c>
      <c r="K26" s="417"/>
      <c r="L26" s="417"/>
      <c r="M26" s="417"/>
      <c r="N26" s="417"/>
      <c r="O26" s="417"/>
    </row>
    <row r="27" spans="1:15" ht="12.75" customHeight="1">
      <c r="A27" s="48"/>
      <c r="B27" s="47"/>
      <c r="C27" s="47"/>
      <c r="D27" s="48"/>
      <c r="E27" s="47"/>
      <c r="J27" s="417"/>
      <c r="K27" s="417"/>
      <c r="L27" s="417"/>
      <c r="M27" s="417"/>
      <c r="N27" s="417"/>
      <c r="O27" s="417"/>
    </row>
    <row r="28" spans="10:15" ht="12.75">
      <c r="J28" s="417"/>
      <c r="K28" s="417"/>
      <c r="L28" s="417"/>
      <c r="M28" s="417"/>
      <c r="N28" s="417"/>
      <c r="O28" s="417"/>
    </row>
    <row r="29" spans="10:15" ht="12.75">
      <c r="J29" s="417"/>
      <c r="K29" s="417"/>
      <c r="L29" s="417"/>
      <c r="M29" s="417"/>
      <c r="N29" s="417"/>
      <c r="O29" s="417"/>
    </row>
    <row r="30" spans="10:15" ht="12.75">
      <c r="J30" s="417"/>
      <c r="K30" s="417"/>
      <c r="L30" s="417"/>
      <c r="M30" s="417"/>
      <c r="N30" s="417"/>
      <c r="O30" s="417"/>
    </row>
    <row r="32" spans="10:15" ht="12.75">
      <c r="J32" s="417" t="s">
        <v>560</v>
      </c>
      <c r="K32" s="417"/>
      <c r="L32" s="417"/>
      <c r="M32" s="417"/>
      <c r="N32" s="417"/>
      <c r="O32" s="417"/>
    </row>
    <row r="33" spans="10:15" ht="12.75">
      <c r="J33" s="417"/>
      <c r="K33" s="417"/>
      <c r="L33" s="417"/>
      <c r="M33" s="417"/>
      <c r="N33" s="417"/>
      <c r="O33" s="417"/>
    </row>
    <row r="34" spans="10:15" ht="12.75">
      <c r="J34" s="417"/>
      <c r="K34" s="417"/>
      <c r="L34" s="417"/>
      <c r="M34" s="417"/>
      <c r="N34" s="417"/>
      <c r="O34" s="417"/>
    </row>
    <row r="35" spans="10:15" ht="12.75">
      <c r="J35" s="417"/>
      <c r="K35" s="417"/>
      <c r="L35" s="417"/>
      <c r="M35" s="417"/>
      <c r="N35" s="417"/>
      <c r="O35" s="417"/>
    </row>
    <row r="36" spans="10:15" ht="12.75">
      <c r="J36" s="417"/>
      <c r="K36" s="417"/>
      <c r="L36" s="417"/>
      <c r="M36" s="417"/>
      <c r="N36" s="417"/>
      <c r="O36" s="417"/>
    </row>
    <row r="37" spans="10:15" ht="12.75">
      <c r="J37" s="417"/>
      <c r="K37" s="417"/>
      <c r="L37" s="417"/>
      <c r="M37" s="417"/>
      <c r="N37" s="417"/>
      <c r="O37" s="417"/>
    </row>
    <row r="38" spans="10:15" ht="12.75">
      <c r="J38" s="417"/>
      <c r="K38" s="417"/>
      <c r="L38" s="417"/>
      <c r="M38" s="417"/>
      <c r="N38" s="417"/>
      <c r="O38" s="417"/>
    </row>
    <row r="39" spans="10:15" ht="12.75">
      <c r="J39" s="417"/>
      <c r="K39" s="417"/>
      <c r="L39" s="417"/>
      <c r="M39" s="417"/>
      <c r="N39" s="417"/>
      <c r="O39" s="417"/>
    </row>
    <row r="41" spans="10:14" ht="12.75">
      <c r="J41" s="364" t="s">
        <v>552</v>
      </c>
      <c r="K41" s="364"/>
      <c r="L41" s="364"/>
      <c r="M41" s="364"/>
      <c r="N41" s="364"/>
    </row>
    <row r="42" spans="10:14" ht="12.75">
      <c r="J42" s="364"/>
      <c r="K42" s="364"/>
      <c r="L42" s="364"/>
      <c r="M42" s="364"/>
      <c r="N42" s="364"/>
    </row>
    <row r="43" spans="10:14" ht="12.75">
      <c r="J43" s="364"/>
      <c r="K43" s="364"/>
      <c r="L43" s="364"/>
      <c r="M43" s="364"/>
      <c r="N43" s="364"/>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70" t="s">
        <v>848</v>
      </c>
      <c r="B1" s="50"/>
      <c r="C1" s="50"/>
      <c r="D1" s="50"/>
      <c r="E1" s="50"/>
      <c r="F1" s="50"/>
      <c r="G1" s="50"/>
      <c r="H1" s="167" t="s">
        <v>670</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854</v>
      </c>
    </row>
    <row r="7" spans="1:5" ht="12.75">
      <c r="A7" s="286" t="s">
        <v>100</v>
      </c>
      <c r="B7" s="286" t="s">
        <v>108</v>
      </c>
      <c r="C7" s="286"/>
      <c r="D7" s="286"/>
      <c r="E7" s="286" t="s">
        <v>360</v>
      </c>
    </row>
    <row r="8" spans="1:10" ht="12.75">
      <c r="A8" s="170">
        <f>AVERAGE(300000,400000)</f>
        <v>350000</v>
      </c>
      <c r="B8" s="48" t="s">
        <v>638</v>
      </c>
      <c r="E8" s="48"/>
      <c r="I8" s="48" t="s">
        <v>849</v>
      </c>
      <c r="J8" s="48"/>
    </row>
    <row r="9" spans="1:10" ht="12.75">
      <c r="A9" s="170">
        <f>A8*Conversions!D9</f>
        <v>317514659</v>
      </c>
      <c r="B9" s="48" t="s">
        <v>639</v>
      </c>
      <c r="E9" s="48"/>
      <c r="J9" s="48"/>
    </row>
    <row r="10" spans="1:13" ht="12.75">
      <c r="A10" s="170">
        <f>A9</f>
        <v>317514659</v>
      </c>
      <c r="B10" s="48" t="s">
        <v>640</v>
      </c>
      <c r="E10" s="48"/>
      <c r="I10" s="48" t="s">
        <v>850</v>
      </c>
      <c r="J10" s="48"/>
      <c r="M10" s="48" t="s">
        <v>855</v>
      </c>
    </row>
    <row r="11" spans="1:10" ht="12.75">
      <c r="A11" s="170">
        <v>225</v>
      </c>
      <c r="B11" s="48" t="s">
        <v>641</v>
      </c>
      <c r="E11" s="48" t="s">
        <v>642</v>
      </c>
      <c r="I11" s="48" t="s">
        <v>851</v>
      </c>
      <c r="J11" s="48"/>
    </row>
    <row r="12" spans="1:10" ht="12.75">
      <c r="A12" s="170">
        <f>A11*10^6*Conversions!D9</f>
        <v>204116566500</v>
      </c>
      <c r="B12" s="48" t="s">
        <v>643</v>
      </c>
      <c r="J12" s="48"/>
    </row>
    <row r="13" spans="1:10" ht="12.75">
      <c r="A13" s="301">
        <f>A10/A12</f>
        <v>0.0015555555555555555</v>
      </c>
      <c r="B13" s="302" t="s">
        <v>644</v>
      </c>
      <c r="J13" s="48"/>
    </row>
    <row r="14" spans="1:13" ht="12.75">
      <c r="A14" s="303">
        <f>AVERAGE(93,94)/100</f>
        <v>0.935</v>
      </c>
      <c r="B14" s="272" t="s">
        <v>645</v>
      </c>
      <c r="I14" s="48" t="s">
        <v>852</v>
      </c>
      <c r="J14" s="48"/>
      <c r="M14" s="48" t="s">
        <v>853</v>
      </c>
    </row>
    <row r="15" spans="1:10" ht="12.75">
      <c r="A15" s="303">
        <f>AVERAGE(6,7)/100</f>
        <v>0.065</v>
      </c>
      <c r="B15" s="272" t="s">
        <v>646</v>
      </c>
      <c r="I15" s="48" t="s">
        <v>852</v>
      </c>
      <c r="J15" s="48"/>
    </row>
    <row r="16" spans="1:10" ht="12.75">
      <c r="A16" s="299">
        <f>A14*A13</f>
        <v>0.0014544444444444444</v>
      </c>
      <c r="B16" s="302" t="s">
        <v>647</v>
      </c>
      <c r="J16" s="48"/>
    </row>
    <row r="17" spans="1:10" ht="12.75">
      <c r="A17" s="299">
        <f>A15*A13</f>
        <v>0.0001011111111111111</v>
      </c>
      <c r="B17" s="302"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6" t="s">
        <v>100</v>
      </c>
      <c r="B5" s="286" t="s">
        <v>108</v>
      </c>
      <c r="C5" s="286" t="s">
        <v>360</v>
      </c>
      <c r="D5" s="286"/>
      <c r="E5" s="286"/>
      <c r="F5" s="286"/>
      <c r="G5" s="286"/>
      <c r="H5" s="286"/>
      <c r="I5" s="286" t="s">
        <v>204</v>
      </c>
    </row>
    <row r="6" spans="1:10" ht="12.75">
      <c r="A6" s="170">
        <v>59.5</v>
      </c>
      <c r="B6" s="48" t="s">
        <v>671</v>
      </c>
      <c r="I6" s="272" t="s">
        <v>901</v>
      </c>
      <c r="J6" s="87"/>
    </row>
    <row r="7" spans="1:11" ht="15">
      <c r="A7" s="170">
        <f>A6*0.8</f>
        <v>47.6</v>
      </c>
      <c r="B7" s="48" t="s">
        <v>671</v>
      </c>
      <c r="C7" s="48" t="s">
        <v>672</v>
      </c>
      <c r="H7" s="244"/>
      <c r="I7" s="315" t="s">
        <v>886</v>
      </c>
      <c r="J7" s="48"/>
      <c r="K7" s="48"/>
    </row>
    <row r="8" spans="1:11" ht="12.75">
      <c r="A8" s="170">
        <f>A6-A7</f>
        <v>11.899999999999999</v>
      </c>
      <c r="B8" s="48" t="s">
        <v>671</v>
      </c>
      <c r="C8" s="48" t="s">
        <v>673</v>
      </c>
      <c r="J8" s="48"/>
      <c r="K8" s="87"/>
    </row>
    <row r="9" spans="1:11" ht="12.75">
      <c r="A9" s="170">
        <f>A8</f>
        <v>11.899999999999999</v>
      </c>
      <c r="B9" s="48" t="s">
        <v>671</v>
      </c>
      <c r="C9" s="48" t="s">
        <v>674</v>
      </c>
      <c r="J9" s="48"/>
      <c r="K9" s="87"/>
    </row>
    <row r="10" spans="1:10" ht="12.75">
      <c r="A10" s="170">
        <f>A9*Conversions!D5/Conversions!D10</f>
        <v>0.22918843135157524</v>
      </c>
      <c r="B10" s="48" t="s">
        <v>675</v>
      </c>
      <c r="C10" s="48" t="s">
        <v>674</v>
      </c>
      <c r="J10" s="48"/>
    </row>
    <row r="11" spans="1:10" ht="12.75">
      <c r="A11" s="245">
        <f>A10/Conversions!D9</f>
        <v>0.00025263700021185896</v>
      </c>
      <c r="B11" s="48" t="s">
        <v>293</v>
      </c>
      <c r="C11" s="48" t="s">
        <v>674</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70" t="s">
        <v>848</v>
      </c>
      <c r="B1" s="50"/>
      <c r="C1" s="50"/>
      <c r="D1" s="50"/>
      <c r="E1" s="50"/>
      <c r="F1" s="50"/>
      <c r="G1" s="50"/>
      <c r="H1" s="167" t="s">
        <v>684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677</v>
      </c>
    </row>
    <row r="5" spans="1:3" ht="12.75">
      <c r="A5" s="286" t="s">
        <v>877</v>
      </c>
      <c r="B5" s="286" t="s">
        <v>100</v>
      </c>
      <c r="C5" s="286" t="s">
        <v>108</v>
      </c>
    </row>
    <row r="6" spans="1:10" ht="12.75">
      <c r="A6" s="48" t="s">
        <v>678</v>
      </c>
      <c r="B6" s="170">
        <v>363</v>
      </c>
      <c r="C6" s="48" t="s">
        <v>467</v>
      </c>
      <c r="I6" s="48" t="s">
        <v>856</v>
      </c>
      <c r="J6" s="48"/>
    </row>
    <row r="7" spans="1:3" ht="12.75">
      <c r="A7" s="48" t="s">
        <v>678</v>
      </c>
      <c r="B7" s="170">
        <f>B6*10^6*Conversions!D9</f>
        <v>329308060620</v>
      </c>
      <c r="C7" s="48" t="s">
        <v>347</v>
      </c>
    </row>
    <row r="8" spans="1:9" ht="12.75">
      <c r="A8" s="48" t="s">
        <v>680</v>
      </c>
      <c r="B8" s="170">
        <v>2640</v>
      </c>
      <c r="C8" s="48" t="s">
        <v>679</v>
      </c>
      <c r="I8" s="48" t="s">
        <v>203</v>
      </c>
    </row>
    <row r="9" spans="1:3" ht="12.75">
      <c r="A9" s="48" t="s">
        <v>680</v>
      </c>
      <c r="B9" s="170">
        <f>B8*10^6</f>
        <v>2640000000</v>
      </c>
      <c r="C9" s="48" t="s">
        <v>549</v>
      </c>
    </row>
    <row r="10" spans="1:3" ht="12.75">
      <c r="A10" s="48" t="s">
        <v>680</v>
      </c>
      <c r="B10" s="170">
        <f>B9*Conversions!D4*Conversions!D25</f>
        <v>9993487099.2</v>
      </c>
      <c r="C10" s="48" t="s">
        <v>347</v>
      </c>
    </row>
    <row r="11" spans="1:3" ht="12.75">
      <c r="A11" s="302" t="s">
        <v>681</v>
      </c>
      <c r="B11" s="299">
        <f>B10/B7</f>
        <v>0.030346925248003063</v>
      </c>
      <c r="C11" s="302" t="s">
        <v>375</v>
      </c>
    </row>
    <row r="12" spans="1:9" ht="12.75">
      <c r="A12" s="272" t="s">
        <v>682</v>
      </c>
      <c r="B12" s="273">
        <v>4254</v>
      </c>
      <c r="C12" s="272" t="s">
        <v>679</v>
      </c>
      <c r="I12" s="48" t="s">
        <v>203</v>
      </c>
    </row>
    <row r="13" spans="1:3" ht="12.75">
      <c r="A13" s="272" t="s">
        <v>682</v>
      </c>
      <c r="B13" s="273">
        <f>B12*10^6</f>
        <v>4254000000</v>
      </c>
      <c r="C13" s="272" t="s">
        <v>549</v>
      </c>
    </row>
    <row r="14" spans="1:3" ht="12.75">
      <c r="A14" s="272" t="s">
        <v>682</v>
      </c>
      <c r="B14" s="273">
        <f>B13*Conversions!D4*Conversions!D25</f>
        <v>16103141712.12</v>
      </c>
      <c r="C14" s="272" t="s">
        <v>347</v>
      </c>
    </row>
    <row r="15" spans="1:3" ht="12.75">
      <c r="A15" s="302" t="s">
        <v>683</v>
      </c>
      <c r="B15" s="299">
        <f>B14/B7</f>
        <v>0.04889993182007766</v>
      </c>
      <c r="C15" s="302"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8" t="s">
        <v>209</v>
      </c>
      <c r="C3" s="418"/>
      <c r="D3" s="418"/>
      <c r="E3" s="418"/>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2" t="s">
        <v>887</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813</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9" t="s">
        <v>455</v>
      </c>
      <c r="O34" s="226" t="s">
        <v>456</v>
      </c>
      <c r="P34" s="421" t="s">
        <v>443</v>
      </c>
    </row>
    <row r="35" spans="2:16" ht="26.25" thickBot="1">
      <c r="B35">
        <v>1</v>
      </c>
      <c r="C35" s="48" t="s">
        <v>426</v>
      </c>
      <c r="D35">
        <f>3.78541178</f>
        <v>3.78541178</v>
      </c>
      <c r="E35" s="48" t="s">
        <v>427</v>
      </c>
      <c r="N35" s="420"/>
      <c r="O35" s="224" t="s">
        <v>457</v>
      </c>
      <c r="P35" s="422"/>
    </row>
    <row r="36" spans="2:16" ht="14.25" thickBot="1" thickTop="1">
      <c r="B36">
        <v>1</v>
      </c>
      <c r="C36" s="48" t="s">
        <v>428</v>
      </c>
      <c r="D36" s="304">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424" t="s">
        <v>898</v>
      </c>
      <c r="E4" s="404"/>
      <c r="F4" s="404"/>
      <c r="G4" s="404"/>
      <c r="H4" s="404"/>
      <c r="I4" s="404"/>
      <c r="J4" s="404"/>
      <c r="K4" s="404"/>
      <c r="L4" s="404"/>
    </row>
    <row r="5" spans="3:12" s="80" customFormat="1" ht="18.75" customHeight="1">
      <c r="C5" s="149">
        <v>2</v>
      </c>
      <c r="D5" s="425" t="s">
        <v>665</v>
      </c>
      <c r="E5" s="425"/>
      <c r="F5" s="425"/>
      <c r="G5" s="425"/>
      <c r="H5" s="425"/>
      <c r="I5" s="425"/>
      <c r="J5" s="425"/>
      <c r="K5" s="425"/>
      <c r="L5" s="425"/>
    </row>
    <row r="6" spans="3:12" s="80" customFormat="1" ht="18.75" customHeight="1">
      <c r="C6" s="149">
        <v>3</v>
      </c>
      <c r="D6" s="426" t="s">
        <v>666</v>
      </c>
      <c r="E6" s="426"/>
      <c r="F6" s="426"/>
      <c r="G6" s="426"/>
      <c r="H6" s="426"/>
      <c r="I6" s="426"/>
      <c r="J6" s="426"/>
      <c r="K6" s="426"/>
      <c r="L6" s="426"/>
    </row>
    <row r="7" spans="3:12" ht="18.75" customHeight="1">
      <c r="C7" s="150">
        <v>4</v>
      </c>
      <c r="D7" s="381" t="s">
        <v>667</v>
      </c>
      <c r="E7" s="381"/>
      <c r="F7" s="381"/>
      <c r="G7" s="381"/>
      <c r="H7" s="381"/>
      <c r="I7" s="381"/>
      <c r="J7" s="381"/>
      <c r="K7" s="381"/>
      <c r="L7" s="381"/>
    </row>
    <row r="8" spans="3:12" ht="18.75" customHeight="1">
      <c r="C8" s="150">
        <v>5</v>
      </c>
      <c r="D8" s="423" t="s">
        <v>669</v>
      </c>
      <c r="E8" s="423"/>
      <c r="F8" s="423"/>
      <c r="G8" s="423"/>
      <c r="H8" s="423"/>
      <c r="I8" s="423"/>
      <c r="J8" s="423"/>
      <c r="K8" s="423"/>
      <c r="L8" s="423"/>
    </row>
    <row r="9" spans="3:12" ht="18.75" customHeight="1">
      <c r="C9" s="148">
        <v>6</v>
      </c>
      <c r="D9" s="423" t="s">
        <v>668</v>
      </c>
      <c r="E9" s="423"/>
      <c r="F9" s="423"/>
      <c r="G9" s="423"/>
      <c r="H9" s="423"/>
      <c r="I9" s="423"/>
      <c r="J9" s="423"/>
      <c r="K9" s="423"/>
      <c r="L9" s="423"/>
    </row>
    <row r="10" spans="3:12" ht="18.75" customHeight="1">
      <c r="C10" s="148">
        <v>7</v>
      </c>
      <c r="D10" s="423" t="s">
        <v>841</v>
      </c>
      <c r="E10" s="423"/>
      <c r="F10" s="423"/>
      <c r="G10" s="423"/>
      <c r="H10" s="423"/>
      <c r="I10" s="423"/>
      <c r="J10" s="423"/>
      <c r="K10" s="423"/>
      <c r="L10" s="423"/>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1" t="s">
        <v>857</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858</v>
      </c>
      <c r="C2" s="50"/>
      <c r="D2" s="271"/>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2"/>
      <c r="C3" s="50"/>
      <c r="D3" s="271"/>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1"/>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1"/>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1"/>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1"/>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3"/>
      <c r="D8" s="273"/>
    </row>
    <row r="9" spans="2:4" ht="12.75" customHeight="1">
      <c r="B9" s="274"/>
      <c r="C9" s="274"/>
      <c r="D9" s="274"/>
    </row>
    <row r="10" spans="2:4" ht="12.75" customHeight="1">
      <c r="B10" s="274"/>
      <c r="C10" s="274"/>
      <c r="D10" s="274"/>
    </row>
    <row r="11" spans="2:4" ht="12.75" customHeight="1">
      <c r="B11" s="273" t="s">
        <v>859</v>
      </c>
      <c r="C11" s="274"/>
      <c r="D11" s="274"/>
    </row>
    <row r="12" spans="2:6" ht="12.75">
      <c r="B12" s="427" t="s">
        <v>860</v>
      </c>
      <c r="C12" s="427"/>
      <c r="D12" s="427"/>
      <c r="E12" s="427"/>
      <c r="F12" s="427"/>
    </row>
    <row r="13" spans="3:6" ht="12.75">
      <c r="C13" s="272" t="s">
        <v>861</v>
      </c>
      <c r="D13" s="272" t="s">
        <v>108</v>
      </c>
      <c r="E13" s="272" t="s">
        <v>862</v>
      </c>
      <c r="F13" s="272" t="s">
        <v>863</v>
      </c>
    </row>
    <row r="14" spans="2:6" ht="12.75">
      <c r="B14" s="275" t="s">
        <v>864</v>
      </c>
      <c r="C14" s="276">
        <v>0.0028092338935927093</v>
      </c>
      <c r="D14" s="272" t="s">
        <v>865</v>
      </c>
      <c r="E14" s="277">
        <f aca="true" t="shared" si="0" ref="E14:E22">C14/$C$23</f>
        <v>0.9127546895452501</v>
      </c>
      <c r="F14" s="277"/>
    </row>
    <row r="15" spans="2:6" ht="12.75">
      <c r="B15" s="275" t="s">
        <v>866</v>
      </c>
      <c r="C15" s="276">
        <v>3.4764826175869123E-07</v>
      </c>
      <c r="D15" s="272" t="s">
        <v>865</v>
      </c>
      <c r="E15" s="277">
        <f t="shared" si="0"/>
        <v>0.00011295520175669134</v>
      </c>
      <c r="F15" s="277">
        <f>C15/$C$24</f>
        <v>0.0028992540396042582</v>
      </c>
    </row>
    <row r="16" spans="2:6" ht="12.75">
      <c r="B16" s="275" t="s">
        <v>867</v>
      </c>
      <c r="C16" s="276">
        <v>0.00014861000012462294</v>
      </c>
      <c r="D16" s="272" t="s">
        <v>865</v>
      </c>
      <c r="E16" s="277">
        <f t="shared" si="0"/>
        <v>0.04828521926794605</v>
      </c>
      <c r="F16" s="277"/>
    </row>
    <row r="17" spans="2:6" ht="12.75">
      <c r="B17" s="275" t="s">
        <v>868</v>
      </c>
      <c r="C17" s="276">
        <v>2.4900000000000002E-05</v>
      </c>
      <c r="D17" s="272" t="s">
        <v>865</v>
      </c>
      <c r="E17" s="277">
        <f t="shared" si="0"/>
        <v>0.008090316659468527</v>
      </c>
      <c r="F17" s="277">
        <f aca="true" t="shared" si="1" ref="F17:F22">C17/$C$24</f>
        <v>0.20765651242132593</v>
      </c>
    </row>
    <row r="18" spans="2:6" ht="15.75">
      <c r="B18" s="275" t="s">
        <v>869</v>
      </c>
      <c r="C18" s="276">
        <v>2.675700524027908E-11</v>
      </c>
      <c r="D18" s="272" t="s">
        <v>865</v>
      </c>
      <c r="E18" s="277">
        <f t="shared" si="0"/>
        <v>8.693680532245642E-09</v>
      </c>
      <c r="F18" s="277">
        <f t="shared" si="1"/>
        <v>2.231432285556424E-07</v>
      </c>
    </row>
    <row r="19" spans="2:6" ht="12.75">
      <c r="B19" s="275" t="s">
        <v>870</v>
      </c>
      <c r="C19" s="276">
        <v>9.454627087077075E-05</v>
      </c>
      <c r="D19" s="272" t="s">
        <v>865</v>
      </c>
      <c r="E19" s="277">
        <f t="shared" si="0"/>
        <v>0.030719247803872304</v>
      </c>
      <c r="F19" s="277">
        <f t="shared" si="1"/>
        <v>0.7884798743560743</v>
      </c>
    </row>
    <row r="20" spans="2:6" ht="12.75">
      <c r="B20" s="275" t="s">
        <v>871</v>
      </c>
      <c r="C20" s="276">
        <v>6.970896346340609E-12</v>
      </c>
      <c r="D20" s="272" t="s">
        <v>865</v>
      </c>
      <c r="E20" s="277">
        <f t="shared" si="0"/>
        <v>2.264930073985048E-09</v>
      </c>
      <c r="F20" s="277">
        <f t="shared" si="1"/>
        <v>5.8134619426974054E-08</v>
      </c>
    </row>
    <row r="21" spans="2:6" ht="12.75">
      <c r="B21" s="275" t="s">
        <v>230</v>
      </c>
      <c r="C21" s="276">
        <v>1.3962250062259618E-13</v>
      </c>
      <c r="D21" s="272" t="s">
        <v>865</v>
      </c>
      <c r="E21" s="277">
        <f t="shared" si="0"/>
        <v>4.5365069992917445E-11</v>
      </c>
      <c r="F21" s="277">
        <f t="shared" si="1"/>
        <v>1.1643984552141658E-09</v>
      </c>
    </row>
    <row r="22" spans="2:6" ht="12.75">
      <c r="B22" s="278" t="s">
        <v>231</v>
      </c>
      <c r="C22" s="278">
        <v>1.1560201298112204E-07</v>
      </c>
      <c r="D22" s="279" t="s">
        <v>865</v>
      </c>
      <c r="E22" s="280">
        <f t="shared" si="0"/>
        <v>3.756051773049271E-05</v>
      </c>
      <c r="F22" s="281">
        <f t="shared" si="1"/>
        <v>0.000964076740744765</v>
      </c>
    </row>
    <row r="23" spans="2:3" ht="12.75">
      <c r="B23" s="282" t="s">
        <v>81</v>
      </c>
      <c r="C23">
        <f>SUM(C14:C22)</f>
        <v>0.0030777534487303674</v>
      </c>
    </row>
    <row r="24" spans="2:3" ht="12.75">
      <c r="B24" s="282" t="s">
        <v>872</v>
      </c>
      <c r="C24">
        <f>C23-C14-C16</f>
        <v>0.00011990955501303517</v>
      </c>
    </row>
    <row r="26" ht="12.75">
      <c r="B26" s="272" t="s">
        <v>873</v>
      </c>
    </row>
    <row r="27" ht="12.75">
      <c r="B27" s="272" t="s">
        <v>874</v>
      </c>
    </row>
    <row r="29" ht="12.75">
      <c r="B29" s="1" t="s">
        <v>875</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0" t="s">
        <v>890</v>
      </c>
      <c r="C1" s="320"/>
      <c r="D1" s="320"/>
      <c r="E1" s="320"/>
      <c r="F1" s="320"/>
      <c r="G1" s="320"/>
      <c r="H1" s="320"/>
      <c r="I1" s="320"/>
      <c r="J1" s="320"/>
      <c r="K1" s="320"/>
      <c r="L1" s="320"/>
      <c r="M1" s="320"/>
      <c r="N1" s="320"/>
      <c r="O1" s="320"/>
    </row>
    <row r="2" spans="2:15" ht="20.25">
      <c r="B2" s="320" t="s">
        <v>83</v>
      </c>
      <c r="C2" s="320"/>
      <c r="D2" s="320"/>
      <c r="E2" s="320"/>
      <c r="F2" s="320"/>
      <c r="G2" s="320"/>
      <c r="H2" s="320"/>
      <c r="I2" s="320"/>
      <c r="J2" s="320"/>
      <c r="K2" s="320"/>
      <c r="L2" s="320"/>
      <c r="M2" s="320"/>
      <c r="N2" s="320"/>
      <c r="O2" s="320"/>
    </row>
    <row r="3" spans="2:14" ht="5.25" customHeight="1">
      <c r="B3" s="4"/>
      <c r="C3" s="5"/>
      <c r="D3" s="5"/>
      <c r="E3" s="5"/>
      <c r="F3" s="5"/>
      <c r="G3" s="5"/>
      <c r="H3" s="5"/>
      <c r="J3" s="5"/>
      <c r="K3" s="5"/>
      <c r="L3" s="5"/>
      <c r="M3" s="5"/>
      <c r="N3" s="5"/>
    </row>
    <row r="4" spans="2:14" ht="13.5" thickBot="1">
      <c r="B4" s="347" t="s">
        <v>84</v>
      </c>
      <c r="C4" s="347"/>
      <c r="D4" s="314" t="s">
        <v>894</v>
      </c>
      <c r="E4" s="41"/>
      <c r="F4" s="5"/>
      <c r="G4" s="5"/>
      <c r="H4" s="5"/>
      <c r="J4" s="5"/>
      <c r="K4" s="5"/>
      <c r="L4" s="5"/>
      <c r="M4" s="5"/>
      <c r="N4" s="5"/>
    </row>
    <row r="5" spans="2:14" ht="13.5" thickBot="1">
      <c r="B5" s="347" t="s">
        <v>85</v>
      </c>
      <c r="C5" s="347"/>
      <c r="D5" s="30">
        <v>1</v>
      </c>
      <c r="E5" s="30" t="s">
        <v>169</v>
      </c>
      <c r="F5" s="23" t="s">
        <v>78</v>
      </c>
      <c r="G5" s="354" t="s">
        <v>895</v>
      </c>
      <c r="H5" s="355"/>
      <c r="I5" s="355"/>
      <c r="J5" s="355"/>
      <c r="K5" s="84" t="s">
        <v>47</v>
      </c>
      <c r="L5" s="85" t="str">
        <f>DQI!I13</f>
        <v>2,2,3,2,2</v>
      </c>
      <c r="M5" s="86"/>
      <c r="N5" s="88" t="s">
        <v>233</v>
      </c>
    </row>
    <row r="6" spans="2:14" ht="27.75" customHeight="1">
      <c r="B6" s="345" t="s">
        <v>86</v>
      </c>
      <c r="C6" s="346"/>
      <c r="D6" s="361" t="s">
        <v>900</v>
      </c>
      <c r="E6" s="362"/>
      <c r="F6" s="362"/>
      <c r="G6" s="362"/>
      <c r="H6" s="362"/>
      <c r="I6" s="362"/>
      <c r="J6" s="362"/>
      <c r="K6" s="362"/>
      <c r="L6" s="362"/>
      <c r="M6" s="363"/>
      <c r="N6" s="28"/>
    </row>
    <row r="7" spans="2:14" ht="13.5" thickBot="1">
      <c r="B7" s="4"/>
      <c r="C7" s="5"/>
      <c r="D7" s="5"/>
      <c r="E7" s="5"/>
      <c r="F7" s="5"/>
      <c r="G7" s="5"/>
      <c r="H7" s="5"/>
      <c r="J7" s="5"/>
      <c r="K7" s="5"/>
      <c r="L7" s="5"/>
      <c r="M7" s="5"/>
      <c r="N7" s="5"/>
    </row>
    <row r="8" spans="1:23" s="2" customFormat="1" ht="13.5" thickBot="1">
      <c r="A8" s="6"/>
      <c r="B8" s="342" t="s">
        <v>94</v>
      </c>
      <c r="C8" s="343"/>
      <c r="D8" s="343"/>
      <c r="E8" s="343"/>
      <c r="F8" s="343"/>
      <c r="G8" s="343"/>
      <c r="H8" s="343"/>
      <c r="I8" s="343"/>
      <c r="J8" s="343"/>
      <c r="K8" s="343"/>
      <c r="L8" s="343"/>
      <c r="M8" s="343"/>
      <c r="N8" s="344"/>
      <c r="O8" s="6"/>
      <c r="P8" s="6"/>
      <c r="Q8" s="6"/>
      <c r="R8" s="6"/>
      <c r="S8" s="6"/>
      <c r="T8" s="6"/>
      <c r="U8" s="6"/>
      <c r="V8" s="6"/>
      <c r="W8" s="6"/>
    </row>
    <row r="9" spans="2:14" ht="12.75">
      <c r="B9" s="4"/>
      <c r="C9" s="5"/>
      <c r="D9" s="5"/>
      <c r="E9" s="5"/>
      <c r="F9" s="5"/>
      <c r="G9" s="5"/>
      <c r="H9" s="5"/>
      <c r="J9" s="5"/>
      <c r="K9" s="5"/>
      <c r="L9" s="5"/>
      <c r="M9" s="5"/>
      <c r="N9" s="5"/>
    </row>
    <row r="10" spans="2:14" ht="12.75">
      <c r="B10" s="347" t="s">
        <v>87</v>
      </c>
      <c r="C10" s="347"/>
      <c r="D10" s="358" t="s">
        <v>165</v>
      </c>
      <c r="E10" s="357"/>
      <c r="F10" s="5"/>
      <c r="G10" s="5"/>
      <c r="H10" s="5"/>
      <c r="J10" s="5"/>
      <c r="K10" s="5"/>
      <c r="L10" s="5"/>
      <c r="M10" s="5"/>
      <c r="N10" s="5"/>
    </row>
    <row r="11" spans="2:14" ht="12.75">
      <c r="B11" s="359" t="s">
        <v>151</v>
      </c>
      <c r="C11" s="360"/>
      <c r="D11" s="356" t="s">
        <v>914</v>
      </c>
      <c r="E11" s="357"/>
      <c r="F11" s="5"/>
      <c r="G11" s="5"/>
      <c r="H11" s="5"/>
      <c r="J11" s="5"/>
      <c r="K11" s="5"/>
      <c r="L11" s="5"/>
      <c r="M11" s="5"/>
      <c r="N11" s="5"/>
    </row>
    <row r="12" spans="2:14" ht="12.75">
      <c r="B12" s="347" t="s">
        <v>88</v>
      </c>
      <c r="C12" s="347"/>
      <c r="D12" s="341">
        <v>2008</v>
      </c>
      <c r="E12" s="341"/>
      <c r="F12" s="5"/>
      <c r="G12" s="5"/>
      <c r="H12" s="5"/>
      <c r="J12" s="5"/>
      <c r="K12" s="5"/>
      <c r="L12" s="5"/>
      <c r="M12" s="5"/>
      <c r="N12" s="5"/>
    </row>
    <row r="13" spans="2:14" ht="12.75">
      <c r="B13" s="347" t="s">
        <v>89</v>
      </c>
      <c r="C13" s="347"/>
      <c r="D13" s="341" t="s">
        <v>159</v>
      </c>
      <c r="E13" s="341"/>
      <c r="F13" s="5"/>
      <c r="G13" s="5"/>
      <c r="H13" s="5"/>
      <c r="J13" s="5"/>
      <c r="K13" s="5"/>
      <c r="L13" s="5"/>
      <c r="M13" s="5"/>
      <c r="N13" s="5"/>
    </row>
    <row r="14" spans="2:14" ht="12.75">
      <c r="B14" s="347" t="s">
        <v>90</v>
      </c>
      <c r="C14" s="347"/>
      <c r="D14" s="341" t="s">
        <v>116</v>
      </c>
      <c r="E14" s="341"/>
      <c r="F14" s="5"/>
      <c r="G14" s="5"/>
      <c r="H14" s="5"/>
      <c r="J14" s="5"/>
      <c r="K14" s="5"/>
      <c r="L14" s="5"/>
      <c r="M14" s="5"/>
      <c r="N14" s="5"/>
    </row>
    <row r="15" spans="2:14" ht="12.75">
      <c r="B15" s="347" t="s">
        <v>91</v>
      </c>
      <c r="C15" s="347"/>
      <c r="D15" s="341" t="s">
        <v>166</v>
      </c>
      <c r="E15" s="341"/>
      <c r="F15" s="5"/>
      <c r="G15" s="5"/>
      <c r="H15" s="5"/>
      <c r="J15" s="5"/>
      <c r="K15" s="5"/>
      <c r="L15" s="5"/>
      <c r="M15" s="5"/>
      <c r="N15" s="5"/>
    </row>
    <row r="16" spans="2:14" ht="12.75">
      <c r="B16" s="347" t="s">
        <v>92</v>
      </c>
      <c r="C16" s="347"/>
      <c r="D16" s="341" t="s">
        <v>119</v>
      </c>
      <c r="E16" s="341"/>
      <c r="F16" s="5"/>
      <c r="G16" s="5"/>
      <c r="H16" s="5"/>
      <c r="J16" s="5"/>
      <c r="K16" s="5"/>
      <c r="L16" s="5"/>
      <c r="M16" s="5"/>
      <c r="N16" s="5"/>
    </row>
    <row r="17" spans="2:14" ht="18" customHeight="1">
      <c r="B17" s="352" t="s">
        <v>93</v>
      </c>
      <c r="C17" s="353"/>
      <c r="D17" s="348"/>
      <c r="E17" s="348"/>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2" t="s">
        <v>95</v>
      </c>
      <c r="C20" s="343"/>
      <c r="D20" s="343"/>
      <c r="E20" s="343"/>
      <c r="F20" s="343"/>
      <c r="G20" s="343"/>
      <c r="H20" s="343"/>
      <c r="I20" s="343"/>
      <c r="J20" s="343"/>
      <c r="K20" s="343"/>
      <c r="L20" s="343"/>
      <c r="M20" s="343"/>
      <c r="N20" s="344"/>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49" t="s">
        <v>76</v>
      </c>
      <c r="J22" s="350"/>
      <c r="K22" s="350"/>
      <c r="L22" s="350"/>
      <c r="M22" s="350"/>
      <c r="N22" s="351"/>
    </row>
    <row r="23" spans="2:14" ht="12.75">
      <c r="B23" s="4"/>
      <c r="C23" s="246" t="s">
        <v>685</v>
      </c>
      <c r="D23" s="247"/>
      <c r="E23" s="248">
        <f>MineCH4!A11</f>
        <v>0.00025263700021185896</v>
      </c>
      <c r="F23" s="246" t="s">
        <v>293</v>
      </c>
      <c r="G23" s="247"/>
      <c r="H23" s="249">
        <v>2</v>
      </c>
      <c r="I23" s="305" t="s">
        <v>891</v>
      </c>
      <c r="J23" s="40"/>
      <c r="K23" s="40"/>
      <c r="L23" s="40"/>
      <c r="M23" s="40"/>
      <c r="N23" s="41"/>
    </row>
    <row r="24" spans="2:14" ht="12.75">
      <c r="B24" s="4"/>
      <c r="C24" s="82" t="s">
        <v>686</v>
      </c>
      <c r="D24" s="31"/>
      <c r="E24" s="239">
        <f>PM!B52</f>
        <v>9.454627087077075E-05</v>
      </c>
      <c r="F24" s="82" t="s">
        <v>293</v>
      </c>
      <c r="G24" s="31"/>
      <c r="H24" s="251" t="s">
        <v>687</v>
      </c>
      <c r="I24" s="250" t="s">
        <v>688</v>
      </c>
      <c r="J24" s="40"/>
      <c r="K24" s="40"/>
      <c r="L24" s="40"/>
      <c r="M24" s="40"/>
      <c r="N24" s="41"/>
    </row>
    <row r="25" spans="2:14" ht="12.75">
      <c r="B25" s="4"/>
      <c r="C25" s="82" t="s">
        <v>689</v>
      </c>
      <c r="D25" s="31"/>
      <c r="E25" s="62">
        <f>Air_EFs!B104</f>
        <v>2.4900000000000002E-05</v>
      </c>
      <c r="F25" s="82" t="s">
        <v>293</v>
      </c>
      <c r="G25" s="31"/>
      <c r="H25" s="251">
        <v>14</v>
      </c>
      <c r="I25" s="306" t="s">
        <v>892</v>
      </c>
      <c r="J25" s="40"/>
      <c r="K25" s="40"/>
      <c r="L25" s="40"/>
      <c r="M25" s="40"/>
      <c r="N25" s="41"/>
    </row>
    <row r="26" spans="2:14" ht="12.75">
      <c r="B26" s="4"/>
      <c r="C26" s="82" t="s">
        <v>690</v>
      </c>
      <c r="D26" s="31"/>
      <c r="E26" s="62">
        <f>Air_EFs!B39</f>
        <v>3.4764826175869123E-07</v>
      </c>
      <c r="F26" s="82" t="s">
        <v>293</v>
      </c>
      <c r="G26" s="31"/>
      <c r="H26" s="251" t="s">
        <v>691</v>
      </c>
      <c r="I26" s="83" t="s">
        <v>692</v>
      </c>
      <c r="J26" s="40"/>
      <c r="K26" s="40"/>
      <c r="L26" s="40"/>
      <c r="M26" s="40"/>
      <c r="N26" s="41"/>
    </row>
    <row r="27" spans="2:14" ht="12.75">
      <c r="B27" s="4"/>
      <c r="C27" s="82" t="s">
        <v>693</v>
      </c>
      <c r="D27" s="31"/>
      <c r="E27" s="59">
        <f>Air_EFs!B11</f>
        <v>6.970896346340609E-12</v>
      </c>
      <c r="F27" s="82" t="s">
        <v>293</v>
      </c>
      <c r="G27" s="31"/>
      <c r="H27" s="251" t="s">
        <v>691</v>
      </c>
      <c r="I27" s="83" t="s">
        <v>694</v>
      </c>
      <c r="J27" s="40"/>
      <c r="K27" s="40"/>
      <c r="L27" s="40"/>
      <c r="M27" s="40"/>
      <c r="N27" s="41"/>
    </row>
    <row r="28" spans="2:14" ht="12.75">
      <c r="B28" s="4"/>
      <c r="C28" s="73" t="s">
        <v>695</v>
      </c>
      <c r="D28" s="74"/>
      <c r="E28" s="59">
        <f>Air_EFs!B14</f>
        <v>1.0661370882638615E-16</v>
      </c>
      <c r="F28" s="82" t="s">
        <v>293</v>
      </c>
      <c r="G28" s="31"/>
      <c r="H28" s="251" t="s">
        <v>691</v>
      </c>
      <c r="I28" s="83" t="s">
        <v>814</v>
      </c>
      <c r="J28" s="40"/>
      <c r="K28" s="40"/>
      <c r="L28" s="40"/>
      <c r="M28" s="40"/>
      <c r="N28" s="41"/>
    </row>
    <row r="29" spans="2:14" ht="12.75">
      <c r="B29" s="4"/>
      <c r="C29" s="73" t="s">
        <v>696</v>
      </c>
      <c r="D29" s="74"/>
      <c r="E29" s="59">
        <f>DieselUse_CO2!B12</f>
        <v>0.0008928357226170888</v>
      </c>
      <c r="F29" s="82" t="s">
        <v>293</v>
      </c>
      <c r="G29" s="31"/>
      <c r="H29" s="39">
        <v>7</v>
      </c>
      <c r="I29" s="83" t="s">
        <v>697</v>
      </c>
      <c r="J29" s="40"/>
      <c r="K29" s="40"/>
      <c r="L29" s="40"/>
      <c r="M29" s="40"/>
      <c r="N29" s="41"/>
    </row>
    <row r="30" spans="2:14" ht="12.75">
      <c r="B30" s="4"/>
      <c r="C30" s="73" t="s">
        <v>698</v>
      </c>
      <c r="D30" s="74"/>
      <c r="E30" s="252">
        <f>Elec_Use!A19</f>
        <v>0.0014027919402051752</v>
      </c>
      <c r="F30" s="82" t="s">
        <v>180</v>
      </c>
      <c r="G30" s="31"/>
      <c r="H30" s="39">
        <v>12</v>
      </c>
      <c r="I30" s="83" t="s">
        <v>699</v>
      </c>
      <c r="J30" s="40"/>
      <c r="K30" s="40"/>
      <c r="L30" s="40"/>
      <c r="M30" s="40"/>
      <c r="N30" s="41"/>
    </row>
    <row r="31" spans="2:14" ht="12.75">
      <c r="B31" s="4"/>
      <c r="C31" s="73" t="s">
        <v>700</v>
      </c>
      <c r="D31" s="74"/>
      <c r="E31" s="252">
        <f>DieselUse_CO2!B21</f>
        <v>3.146417445482866</v>
      </c>
      <c r="F31" s="82" t="s">
        <v>488</v>
      </c>
      <c r="G31" s="31"/>
      <c r="H31" s="39">
        <v>10</v>
      </c>
      <c r="I31" s="83" t="s">
        <v>815</v>
      </c>
      <c r="J31" s="40"/>
      <c r="K31" s="40"/>
      <c r="L31" s="40"/>
      <c r="M31" s="40"/>
      <c r="N31" s="41"/>
    </row>
    <row r="32" spans="2:14" ht="12.75">
      <c r="B32" s="4"/>
      <c r="C32" s="73" t="s">
        <v>701</v>
      </c>
      <c r="D32" s="73" t="s">
        <v>702</v>
      </c>
      <c r="E32" s="253">
        <f>E31*E29</f>
        <v>0.0028092338935927093</v>
      </c>
      <c r="F32" s="82" t="s">
        <v>293</v>
      </c>
      <c r="G32" s="31"/>
      <c r="H32" s="39"/>
      <c r="I32" s="83" t="s">
        <v>703</v>
      </c>
      <c r="J32" s="40"/>
      <c r="K32" s="40"/>
      <c r="L32" s="40"/>
      <c r="M32" s="40"/>
      <c r="N32" s="41"/>
    </row>
    <row r="33" spans="2:14" ht="12.75">
      <c r="B33" s="4"/>
      <c r="C33" s="82" t="s">
        <v>704</v>
      </c>
      <c r="D33" s="31"/>
      <c r="E33" s="239">
        <f>Air_EFs!B50</f>
        <v>2.996856483502775E-08</v>
      </c>
      <c r="F33" s="82" t="s">
        <v>488</v>
      </c>
      <c r="G33" s="31"/>
      <c r="H33" s="251"/>
      <c r="I33" s="83" t="s">
        <v>705</v>
      </c>
      <c r="J33" s="40"/>
      <c r="K33" s="40"/>
      <c r="L33" s="40"/>
      <c r="M33" s="40"/>
      <c r="N33" s="41"/>
    </row>
    <row r="34" spans="2:14" ht="12.75">
      <c r="B34" s="4"/>
      <c r="C34" s="82" t="s">
        <v>706</v>
      </c>
      <c r="D34" s="82" t="s">
        <v>707</v>
      </c>
      <c r="E34" s="239">
        <f>E33*E29</f>
        <v>2.675700524027908E-11</v>
      </c>
      <c r="F34" s="82" t="s">
        <v>293</v>
      </c>
      <c r="G34" s="31"/>
      <c r="H34" s="251"/>
      <c r="I34" s="83" t="s">
        <v>816</v>
      </c>
      <c r="J34" s="40"/>
      <c r="K34" s="40"/>
      <c r="L34" s="40"/>
      <c r="M34" s="40"/>
      <c r="N34" s="41"/>
    </row>
    <row r="35" spans="2:14" ht="12.75">
      <c r="B35" s="4"/>
      <c r="C35" s="73" t="s">
        <v>708</v>
      </c>
      <c r="D35" s="73"/>
      <c r="E35" s="252">
        <f>WaterConsumption!B11</f>
        <v>0.030346925248003063</v>
      </c>
      <c r="F35" s="82" t="s">
        <v>293</v>
      </c>
      <c r="G35" s="31"/>
      <c r="H35" s="39">
        <v>11</v>
      </c>
      <c r="I35" s="83" t="s">
        <v>709</v>
      </c>
      <c r="J35" s="40"/>
      <c r="K35" s="40"/>
      <c r="L35" s="40"/>
      <c r="M35" s="40"/>
      <c r="N35" s="41"/>
    </row>
    <row r="36" spans="2:14" ht="12.75">
      <c r="B36" s="4"/>
      <c r="C36" s="73" t="s">
        <v>710</v>
      </c>
      <c r="D36" s="74"/>
      <c r="E36" s="252">
        <f>WaterConsumption!B15</f>
        <v>0.04889993182007766</v>
      </c>
      <c r="F36" s="82" t="s">
        <v>293</v>
      </c>
      <c r="G36" s="31"/>
      <c r="H36" s="39">
        <v>11</v>
      </c>
      <c r="I36" s="83" t="s">
        <v>711</v>
      </c>
      <c r="J36" s="40"/>
      <c r="K36" s="40"/>
      <c r="L36" s="40"/>
      <c r="M36" s="40"/>
      <c r="N36" s="41"/>
    </row>
    <row r="37" spans="2:14" ht="12.75">
      <c r="B37" s="4"/>
      <c r="C37" s="73" t="s">
        <v>712</v>
      </c>
      <c r="D37" s="74"/>
      <c r="E37" s="252">
        <f>Air_EFs!B54</f>
        <v>0.00012947736078734428</v>
      </c>
      <c r="F37" s="82" t="s">
        <v>488</v>
      </c>
      <c r="G37" s="31"/>
      <c r="H37" s="39">
        <v>12</v>
      </c>
      <c r="I37" s="83" t="s">
        <v>817</v>
      </c>
      <c r="J37" s="40"/>
      <c r="K37" s="40"/>
      <c r="L37" s="40"/>
      <c r="M37" s="40"/>
      <c r="N37" s="41"/>
    </row>
    <row r="38" spans="2:14" ht="12.75">
      <c r="B38" s="4"/>
      <c r="C38" s="73" t="s">
        <v>713</v>
      </c>
      <c r="D38" s="73" t="s">
        <v>714</v>
      </c>
      <c r="E38" s="253">
        <f>E37*E29</f>
        <v>1.1560201298112204E-07</v>
      </c>
      <c r="F38" s="82" t="s">
        <v>293</v>
      </c>
      <c r="G38" s="31"/>
      <c r="H38" s="39"/>
      <c r="I38" s="83" t="s">
        <v>715</v>
      </c>
      <c r="J38" s="40"/>
      <c r="K38" s="40"/>
      <c r="L38" s="40"/>
      <c r="M38" s="40"/>
      <c r="N38" s="41"/>
    </row>
    <row r="39" spans="2:14" ht="12.75">
      <c r="B39" s="4"/>
      <c r="C39" s="73" t="s">
        <v>716</v>
      </c>
      <c r="D39" s="74"/>
      <c r="E39" s="252">
        <f>Air_EFs!B86</f>
        <v>1.5638095238095238E-10</v>
      </c>
      <c r="F39" s="82" t="s">
        <v>488</v>
      </c>
      <c r="G39" s="31"/>
      <c r="H39" s="39"/>
      <c r="I39" s="83" t="s">
        <v>818</v>
      </c>
      <c r="J39" s="40"/>
      <c r="K39" s="40"/>
      <c r="L39" s="40"/>
      <c r="M39" s="40"/>
      <c r="N39" s="41"/>
    </row>
    <row r="40" spans="2:14" ht="12.75">
      <c r="B40" s="4"/>
      <c r="C40" s="73" t="s">
        <v>717</v>
      </c>
      <c r="D40" s="73" t="s">
        <v>718</v>
      </c>
      <c r="E40" s="253">
        <f>E39*E29</f>
        <v>1.3962250062259618E-13</v>
      </c>
      <c r="F40" s="82" t="s">
        <v>293</v>
      </c>
      <c r="G40" s="31"/>
      <c r="H40" s="39">
        <v>13</v>
      </c>
      <c r="I40" s="83" t="s">
        <v>719</v>
      </c>
      <c r="J40" s="40"/>
      <c r="K40" s="40"/>
      <c r="L40" s="40"/>
      <c r="M40" s="40"/>
      <c r="N40" s="41"/>
    </row>
    <row r="41" spans="2:14" ht="12.75">
      <c r="B41" s="4"/>
      <c r="C41" s="73" t="s">
        <v>720</v>
      </c>
      <c r="D41" s="73"/>
      <c r="E41" s="253">
        <f>Explosives!A16</f>
        <v>0.0014544444444444444</v>
      </c>
      <c r="F41" s="82" t="s">
        <v>293</v>
      </c>
      <c r="G41" s="31"/>
      <c r="H41" s="251" t="s">
        <v>721</v>
      </c>
      <c r="I41" s="83" t="s">
        <v>722</v>
      </c>
      <c r="J41" s="40"/>
      <c r="K41" s="40"/>
      <c r="L41" s="40"/>
      <c r="M41" s="40"/>
      <c r="N41" s="41"/>
    </row>
    <row r="42" spans="2:14" ht="12.75">
      <c r="B42" s="4"/>
      <c r="C42" s="73" t="s">
        <v>723</v>
      </c>
      <c r="D42" s="73"/>
      <c r="E42" s="253">
        <f>Explosives!A17</f>
        <v>0.0001011111111111111</v>
      </c>
      <c r="F42" s="82" t="s">
        <v>293</v>
      </c>
      <c r="G42" s="31"/>
      <c r="H42" s="251" t="s">
        <v>721</v>
      </c>
      <c r="I42" s="83" t="s">
        <v>724</v>
      </c>
      <c r="J42" s="40"/>
      <c r="K42" s="40"/>
      <c r="L42" s="40"/>
      <c r="M42" s="40"/>
      <c r="N42" s="41"/>
    </row>
    <row r="43" spans="2:14" ht="12.75">
      <c r="B43" s="4"/>
      <c r="C43" s="73" t="s">
        <v>725</v>
      </c>
      <c r="D43" s="73"/>
      <c r="E43" s="253">
        <f>WaterEmissions!C6</f>
        <v>0.0006135937500000002</v>
      </c>
      <c r="F43" s="82" t="s">
        <v>292</v>
      </c>
      <c r="G43" s="31"/>
      <c r="H43" s="251">
        <v>15</v>
      </c>
      <c r="I43" s="83" t="s">
        <v>726</v>
      </c>
      <c r="J43" s="40"/>
      <c r="K43" s="40"/>
      <c r="L43" s="40"/>
      <c r="M43" s="40"/>
      <c r="N43" s="41"/>
    </row>
    <row r="44" spans="2:14" ht="12.75">
      <c r="B44" s="4"/>
      <c r="C44" s="73" t="s">
        <v>727</v>
      </c>
      <c r="D44" s="73"/>
      <c r="E44" s="253">
        <f>WaterEmissions!C7</f>
        <v>0.0018484375000000003</v>
      </c>
      <c r="F44" s="82" t="s">
        <v>292</v>
      </c>
      <c r="G44" s="31"/>
      <c r="H44" s="251">
        <v>15</v>
      </c>
      <c r="I44" s="83" t="s">
        <v>726</v>
      </c>
      <c r="J44" s="40"/>
      <c r="K44" s="40"/>
      <c r="L44" s="40"/>
      <c r="M44" s="40"/>
      <c r="N44" s="41"/>
    </row>
    <row r="45" spans="2:14" ht="12.75">
      <c r="B45" s="4"/>
      <c r="C45" s="73" t="s">
        <v>728</v>
      </c>
      <c r="D45" s="73"/>
      <c r="E45" s="253">
        <f>WaterEmissions!C8</f>
        <v>1.8281250000000007E-05</v>
      </c>
      <c r="F45" s="82" t="s">
        <v>292</v>
      </c>
      <c r="G45" s="31"/>
      <c r="H45" s="251">
        <v>15</v>
      </c>
      <c r="I45" s="83" t="s">
        <v>726</v>
      </c>
      <c r="J45" s="40"/>
      <c r="K45" s="40"/>
      <c r="L45" s="40"/>
      <c r="M45" s="40"/>
      <c r="N45" s="41"/>
    </row>
    <row r="46" spans="2:14" ht="12.75">
      <c r="B46" s="4"/>
      <c r="C46" s="73" t="s">
        <v>729</v>
      </c>
      <c r="D46" s="73"/>
      <c r="E46" s="253">
        <f>WaterEmissions!C9</f>
        <v>2.280303030303031E-06</v>
      </c>
      <c r="F46" s="82" t="s">
        <v>292</v>
      </c>
      <c r="G46" s="31"/>
      <c r="H46" s="251">
        <v>15</v>
      </c>
      <c r="I46" s="83" t="s">
        <v>726</v>
      </c>
      <c r="J46" s="40"/>
      <c r="K46" s="40"/>
      <c r="L46" s="40"/>
      <c r="M46" s="40"/>
      <c r="N46" s="41"/>
    </row>
    <row r="47" spans="2:14" ht="12.75">
      <c r="B47" s="4"/>
      <c r="C47" s="73" t="s">
        <v>730</v>
      </c>
      <c r="D47" s="73"/>
      <c r="E47" s="253">
        <f>WaterEmissions!C10</f>
        <v>0.8590625</v>
      </c>
      <c r="F47" s="82" t="s">
        <v>292</v>
      </c>
      <c r="G47" s="31"/>
      <c r="H47" s="251">
        <v>15</v>
      </c>
      <c r="I47" s="83" t="s">
        <v>726</v>
      </c>
      <c r="J47" s="40"/>
      <c r="K47" s="40"/>
      <c r="L47" s="40"/>
      <c r="M47" s="40"/>
      <c r="N47" s="41"/>
    </row>
    <row r="48" spans="2:14" ht="12.75">
      <c r="B48" s="4"/>
      <c r="C48" s="73" t="s">
        <v>731</v>
      </c>
      <c r="D48" s="73"/>
      <c r="E48" s="253">
        <f>WaterEmissions!C11</f>
        <v>1.7896944444444443</v>
      </c>
      <c r="F48" s="82" t="s">
        <v>292</v>
      </c>
      <c r="G48" s="31"/>
      <c r="H48" s="251">
        <v>15</v>
      </c>
      <c r="I48" s="83" t="s">
        <v>726</v>
      </c>
      <c r="J48" s="40"/>
      <c r="K48" s="40"/>
      <c r="L48" s="40"/>
      <c r="M48" s="40"/>
      <c r="N48" s="41"/>
    </row>
    <row r="49" spans="2:14" ht="12.75">
      <c r="B49" s="4"/>
      <c r="C49" s="73" t="s">
        <v>732</v>
      </c>
      <c r="D49" s="73"/>
      <c r="E49" s="253">
        <f>WaterEmissions!C12</f>
        <v>0.0525</v>
      </c>
      <c r="F49" s="82" t="s">
        <v>292</v>
      </c>
      <c r="G49" s="31"/>
      <c r="H49" s="251">
        <v>15</v>
      </c>
      <c r="I49" s="83" t="s">
        <v>726</v>
      </c>
      <c r="J49" s="40"/>
      <c r="K49" s="40"/>
      <c r="L49" s="40"/>
      <c r="M49" s="40"/>
      <c r="N49" s="41"/>
    </row>
    <row r="50" spans="2:14" ht="12.75">
      <c r="B50" s="4"/>
      <c r="C50" s="73" t="s">
        <v>733</v>
      </c>
      <c r="D50" s="73"/>
      <c r="E50" s="253">
        <f>WaterEmissions!C13</f>
        <v>5.069444444444444E-05</v>
      </c>
      <c r="F50" s="82" t="s">
        <v>292</v>
      </c>
      <c r="G50" s="31"/>
      <c r="H50" s="251">
        <v>15</v>
      </c>
      <c r="I50" s="83" t="s">
        <v>726</v>
      </c>
      <c r="J50" s="40"/>
      <c r="K50" s="40"/>
      <c r="L50" s="40"/>
      <c r="M50" s="40"/>
      <c r="N50" s="41"/>
    </row>
    <row r="51" spans="2:14" ht="12.75">
      <c r="B51" s="4"/>
      <c r="C51" s="73" t="s">
        <v>734</v>
      </c>
      <c r="D51" s="73"/>
      <c r="E51" s="253">
        <f>WaterEmissions!C14</f>
        <v>2.7083333333333334E-06</v>
      </c>
      <c r="F51" s="82" t="s">
        <v>292</v>
      </c>
      <c r="G51" s="31"/>
      <c r="H51" s="251">
        <v>15</v>
      </c>
      <c r="I51" s="83" t="s">
        <v>726</v>
      </c>
      <c r="J51" s="40"/>
      <c r="K51" s="40"/>
      <c r="L51" s="40"/>
      <c r="M51" s="40"/>
      <c r="N51" s="41"/>
    </row>
    <row r="52" spans="2:14" ht="12.75">
      <c r="B52" s="4"/>
      <c r="C52" s="73" t="s">
        <v>735</v>
      </c>
      <c r="D52" s="73"/>
      <c r="E52" s="253">
        <f>WaterEmissions!C15</f>
        <v>2.7500000000000008E-06</v>
      </c>
      <c r="F52" s="82" t="s">
        <v>292</v>
      </c>
      <c r="G52" s="31"/>
      <c r="H52" s="251">
        <v>15</v>
      </c>
      <c r="I52" s="83" t="s">
        <v>726</v>
      </c>
      <c r="J52" s="40"/>
      <c r="K52" s="40"/>
      <c r="L52" s="40"/>
      <c r="M52" s="40"/>
      <c r="N52" s="41"/>
    </row>
    <row r="53" spans="2:14" ht="12.75">
      <c r="B53" s="4"/>
      <c r="C53" s="73" t="s">
        <v>736</v>
      </c>
      <c r="D53" s="73"/>
      <c r="E53" s="253">
        <f>WaterEmissions!C16</f>
        <v>0.0008834174491392801</v>
      </c>
      <c r="F53" s="82" t="s">
        <v>292</v>
      </c>
      <c r="G53" s="31"/>
      <c r="H53" s="251">
        <v>15</v>
      </c>
      <c r="I53" s="83" t="s">
        <v>726</v>
      </c>
      <c r="J53" s="40"/>
      <c r="K53" s="40"/>
      <c r="L53" s="40"/>
      <c r="M53" s="40"/>
      <c r="N53" s="41"/>
    </row>
    <row r="54" spans="2:14" ht="12.75">
      <c r="B54" s="4"/>
      <c r="C54" s="73" t="s">
        <v>737</v>
      </c>
      <c r="D54" s="73"/>
      <c r="E54" s="253">
        <f>WaterEmissions!C17</f>
        <v>1.0937500000000005E-06</v>
      </c>
      <c r="F54" s="82" t="s">
        <v>292</v>
      </c>
      <c r="G54" s="31"/>
      <c r="H54" s="251">
        <v>15</v>
      </c>
      <c r="I54" s="83" t="s">
        <v>726</v>
      </c>
      <c r="J54" s="40"/>
      <c r="K54" s="40"/>
      <c r="L54" s="40"/>
      <c r="M54" s="40"/>
      <c r="N54" s="41"/>
    </row>
    <row r="55" spans="2:14" ht="12.75">
      <c r="B55" s="4"/>
      <c r="C55" s="73" t="s">
        <v>738</v>
      </c>
      <c r="D55" s="73"/>
      <c r="E55" s="253">
        <f>WaterEmissions!C18</f>
        <v>0.00024775</v>
      </c>
      <c r="F55" s="82" t="s">
        <v>292</v>
      </c>
      <c r="G55" s="31"/>
      <c r="H55" s="251">
        <v>15</v>
      </c>
      <c r="I55" s="83" t="s">
        <v>726</v>
      </c>
      <c r="J55" s="40"/>
      <c r="K55" s="40"/>
      <c r="L55" s="40"/>
      <c r="M55" s="40"/>
      <c r="N55" s="41"/>
    </row>
    <row r="56" spans="2:14" ht="12.75">
      <c r="B56" s="4"/>
      <c r="C56" s="73" t="s">
        <v>739</v>
      </c>
      <c r="D56" s="73"/>
      <c r="E56" s="253">
        <f>WaterEmissions!C19</f>
        <v>1E-05</v>
      </c>
      <c r="F56" s="82" t="s">
        <v>292</v>
      </c>
      <c r="G56" s="31"/>
      <c r="H56" s="251">
        <v>15</v>
      </c>
      <c r="I56" s="83" t="s">
        <v>726</v>
      </c>
      <c r="J56" s="40"/>
      <c r="K56" s="40"/>
      <c r="L56" s="40"/>
      <c r="M56" s="40"/>
      <c r="N56" s="41"/>
    </row>
    <row r="57" spans="2:14" ht="12.75">
      <c r="B57" s="4"/>
      <c r="C57" s="73" t="s">
        <v>740</v>
      </c>
      <c r="D57" s="73" t="s">
        <v>741</v>
      </c>
      <c r="E57" s="253">
        <f>E43*$E$36</f>
        <v>3.0004692540225785E-05</v>
      </c>
      <c r="F57" s="82" t="s">
        <v>293</v>
      </c>
      <c r="G57" s="31"/>
      <c r="H57" s="251"/>
      <c r="I57" s="83" t="s">
        <v>742</v>
      </c>
      <c r="J57" s="40"/>
      <c r="K57" s="40"/>
      <c r="L57" s="40"/>
      <c r="M57" s="40"/>
      <c r="N57" s="41"/>
    </row>
    <row r="58" spans="2:14" ht="12.75">
      <c r="B58" s="4"/>
      <c r="C58" s="73" t="s">
        <v>743</v>
      </c>
      <c r="D58" s="73" t="s">
        <v>744</v>
      </c>
      <c r="E58" s="253">
        <f aca="true" t="shared" si="0" ref="E58:E70">E44*$E$36</f>
        <v>9.038846772367482E-05</v>
      </c>
      <c r="F58" s="82" t="s">
        <v>293</v>
      </c>
      <c r="G58" s="31"/>
      <c r="H58" s="251"/>
      <c r="I58" s="83" t="s">
        <v>742</v>
      </c>
      <c r="J58" s="40"/>
      <c r="K58" s="40"/>
      <c r="L58" s="40"/>
      <c r="M58" s="40"/>
      <c r="N58" s="41"/>
    </row>
    <row r="59" spans="2:14" ht="12.75">
      <c r="B59" s="4"/>
      <c r="C59" s="73" t="s">
        <v>745</v>
      </c>
      <c r="D59" s="73" t="s">
        <v>746</v>
      </c>
      <c r="E59" s="253">
        <f t="shared" si="0"/>
        <v>8.93951878585795E-07</v>
      </c>
      <c r="F59" s="82" t="s">
        <v>293</v>
      </c>
      <c r="G59" s="31"/>
      <c r="H59" s="251"/>
      <c r="I59" s="83" t="s">
        <v>742</v>
      </c>
      <c r="J59" s="40"/>
      <c r="K59" s="40"/>
      <c r="L59" s="40"/>
      <c r="M59" s="40"/>
      <c r="N59" s="41"/>
    </row>
    <row r="60" spans="2:14" ht="12.75">
      <c r="B60" s="4"/>
      <c r="C60" s="73" t="s">
        <v>747</v>
      </c>
      <c r="D60" s="73" t="s">
        <v>748</v>
      </c>
      <c r="E60" s="253">
        <f t="shared" si="0"/>
        <v>1.115066627109347E-07</v>
      </c>
      <c r="F60" s="82" t="s">
        <v>293</v>
      </c>
      <c r="G60" s="31"/>
      <c r="H60" s="251"/>
      <c r="I60" s="83" t="s">
        <v>742</v>
      </c>
      <c r="J60" s="40"/>
      <c r="K60" s="40"/>
      <c r="L60" s="40"/>
      <c r="M60" s="40"/>
      <c r="N60" s="41"/>
    </row>
    <row r="61" spans="2:14" ht="12.75">
      <c r="B61" s="4"/>
      <c r="C61" s="73" t="s">
        <v>749</v>
      </c>
      <c r="D61" s="73" t="s">
        <v>750</v>
      </c>
      <c r="E61" s="253">
        <f t="shared" si="0"/>
        <v>0.04200809767918546</v>
      </c>
      <c r="F61" s="82" t="s">
        <v>293</v>
      </c>
      <c r="G61" s="31"/>
      <c r="H61" s="251"/>
      <c r="I61" s="83" t="s">
        <v>742</v>
      </c>
      <c r="J61" s="40"/>
      <c r="K61" s="40"/>
      <c r="L61" s="40"/>
      <c r="M61" s="40"/>
      <c r="N61" s="41"/>
    </row>
    <row r="62" spans="2:14" ht="12.75">
      <c r="B62" s="4"/>
      <c r="C62" s="73" t="s">
        <v>751</v>
      </c>
      <c r="D62" s="73" t="s">
        <v>752</v>
      </c>
      <c r="E62" s="253">
        <f t="shared" si="0"/>
        <v>0.0875159363121051</v>
      </c>
      <c r="F62" s="82" t="s">
        <v>293</v>
      </c>
      <c r="G62" s="31"/>
      <c r="H62" s="251"/>
      <c r="I62" s="83" t="s">
        <v>742</v>
      </c>
      <c r="J62" s="40"/>
      <c r="K62" s="40"/>
      <c r="L62" s="40"/>
      <c r="M62" s="40"/>
      <c r="N62" s="41"/>
    </row>
    <row r="63" spans="2:14" ht="12.75">
      <c r="B63" s="4"/>
      <c r="C63" s="73" t="s">
        <v>753</v>
      </c>
      <c r="D63" s="73" t="s">
        <v>754</v>
      </c>
      <c r="E63" s="253">
        <f t="shared" si="0"/>
        <v>0.002567246420554077</v>
      </c>
      <c r="F63" s="82" t="s">
        <v>293</v>
      </c>
      <c r="G63" s="31"/>
      <c r="H63" s="251"/>
      <c r="I63" s="83" t="s">
        <v>742</v>
      </c>
      <c r="J63" s="40"/>
      <c r="K63" s="40"/>
      <c r="L63" s="40"/>
      <c r="M63" s="40"/>
      <c r="N63" s="41"/>
    </row>
    <row r="64" spans="2:14" ht="12.75">
      <c r="B64" s="4"/>
      <c r="C64" s="73" t="s">
        <v>755</v>
      </c>
      <c r="D64" s="73" t="s">
        <v>756</v>
      </c>
      <c r="E64" s="253">
        <f t="shared" si="0"/>
        <v>2.478954876990048E-06</v>
      </c>
      <c r="F64" s="82" t="s">
        <v>293</v>
      </c>
      <c r="G64" s="31"/>
      <c r="H64" s="251"/>
      <c r="I64" s="83" t="s">
        <v>742</v>
      </c>
      <c r="J64" s="40"/>
      <c r="K64" s="40"/>
      <c r="L64" s="40"/>
      <c r="M64" s="40"/>
      <c r="N64" s="41"/>
    </row>
    <row r="65" spans="2:14" ht="12.75">
      <c r="B65" s="4"/>
      <c r="C65" s="73" t="s">
        <v>757</v>
      </c>
      <c r="D65" s="73" t="s">
        <v>758</v>
      </c>
      <c r="E65" s="253">
        <f t="shared" si="0"/>
        <v>1.3243731534604365E-07</v>
      </c>
      <c r="F65" s="82" t="s">
        <v>293</v>
      </c>
      <c r="G65" s="31"/>
      <c r="H65" s="251"/>
      <c r="I65" s="83" t="s">
        <v>742</v>
      </c>
      <c r="J65" s="40"/>
      <c r="K65" s="40"/>
      <c r="L65" s="40"/>
      <c r="M65" s="40"/>
      <c r="N65" s="41"/>
    </row>
    <row r="66" spans="2:14" ht="12.75">
      <c r="B66" s="4"/>
      <c r="C66" s="73" t="s">
        <v>759</v>
      </c>
      <c r="D66" s="73" t="s">
        <v>760</v>
      </c>
      <c r="E66" s="253">
        <f t="shared" si="0"/>
        <v>1.344748125052136E-07</v>
      </c>
      <c r="F66" s="82" t="s">
        <v>293</v>
      </c>
      <c r="G66" s="31"/>
      <c r="H66" s="251"/>
      <c r="I66" s="83" t="s">
        <v>742</v>
      </c>
      <c r="J66" s="40"/>
      <c r="K66" s="40"/>
      <c r="L66" s="40"/>
      <c r="M66" s="40"/>
      <c r="N66" s="41"/>
    </row>
    <row r="67" spans="2:14" ht="12.75">
      <c r="B67" s="4"/>
      <c r="C67" s="73" t="s">
        <v>761</v>
      </c>
      <c r="D67" s="73" t="s">
        <v>762</v>
      </c>
      <c r="E67" s="253">
        <f t="shared" si="0"/>
        <v>4.3199053031577716E-05</v>
      </c>
      <c r="F67" s="82" t="s">
        <v>293</v>
      </c>
      <c r="G67" s="31"/>
      <c r="H67" s="251"/>
      <c r="I67" s="83" t="s">
        <v>742</v>
      </c>
      <c r="J67" s="40"/>
      <c r="K67" s="40"/>
      <c r="L67" s="40"/>
      <c r="M67" s="40"/>
      <c r="N67" s="41"/>
    </row>
    <row r="68" spans="2:14" ht="12.75">
      <c r="B68" s="4"/>
      <c r="C68" s="73" t="s">
        <v>763</v>
      </c>
      <c r="D68" s="73" t="s">
        <v>764</v>
      </c>
      <c r="E68" s="253">
        <f t="shared" si="0"/>
        <v>5.348430042820996E-08</v>
      </c>
      <c r="F68" s="82" t="s">
        <v>293</v>
      </c>
      <c r="G68" s="31"/>
      <c r="H68" s="251"/>
      <c r="I68" s="83" t="s">
        <v>742</v>
      </c>
      <c r="J68" s="40"/>
      <c r="K68" s="40"/>
      <c r="L68" s="40"/>
      <c r="M68" s="40"/>
      <c r="N68" s="41"/>
    </row>
    <row r="69" spans="2:14" ht="12.75">
      <c r="B69" s="4"/>
      <c r="C69" s="73" t="s">
        <v>765</v>
      </c>
      <c r="D69" s="73" t="s">
        <v>766</v>
      </c>
      <c r="E69" s="253">
        <f t="shared" si="0"/>
        <v>1.2114958108424239E-05</v>
      </c>
      <c r="F69" s="82" t="s">
        <v>293</v>
      </c>
      <c r="G69" s="31"/>
      <c r="H69" s="251"/>
      <c r="I69" s="83" t="s">
        <v>742</v>
      </c>
      <c r="J69" s="40"/>
      <c r="K69" s="40"/>
      <c r="L69" s="40"/>
      <c r="M69" s="40"/>
      <c r="N69" s="41"/>
    </row>
    <row r="70" spans="2:14" ht="12.75">
      <c r="B70" s="4"/>
      <c r="C70" s="73" t="s">
        <v>767</v>
      </c>
      <c r="D70" s="73" t="s">
        <v>768</v>
      </c>
      <c r="E70" s="253">
        <f t="shared" si="0"/>
        <v>4.889993182007766E-07</v>
      </c>
      <c r="F70" s="82" t="s">
        <v>293</v>
      </c>
      <c r="G70" s="31"/>
      <c r="H70" s="251"/>
      <c r="I70" s="83" t="s">
        <v>742</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42" t="s">
        <v>96</v>
      </c>
      <c r="C74" s="343"/>
      <c r="D74" s="343"/>
      <c r="E74" s="343"/>
      <c r="F74" s="343"/>
      <c r="G74" s="343"/>
      <c r="H74" s="343"/>
      <c r="I74" s="343"/>
      <c r="J74" s="343"/>
      <c r="K74" s="343"/>
      <c r="L74" s="343"/>
      <c r="M74" s="343"/>
      <c r="N74" s="344"/>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720</v>
      </c>
      <c r="D77" s="73" t="s">
        <v>769</v>
      </c>
      <c r="E77" s="32">
        <v>1</v>
      </c>
      <c r="F77" s="65" t="s">
        <v>169</v>
      </c>
      <c r="G77" s="35">
        <f aca="true" t="shared" si="1" ref="G77:G82">IF($C77="",1,VLOOKUP($C77,$C$22:$H$72,3,FALSE))</f>
        <v>0.0014544444444444444</v>
      </c>
      <c r="H77" s="35" t="str">
        <f>IF($C77="","",VLOOKUP($C77,$C$22:$H$72,4,FALSE))</f>
        <v>kg/kg coal</v>
      </c>
      <c r="I77" s="261">
        <f>IF(D77="","",E77*G77*$D$5)</f>
        <v>0.0014544444444444444</v>
      </c>
      <c r="J77" s="259" t="s">
        <v>169</v>
      </c>
      <c r="K77" s="33" t="s">
        <v>154</v>
      </c>
      <c r="L77" s="32" t="s">
        <v>124</v>
      </c>
      <c r="M77" s="254" t="s">
        <v>721</v>
      </c>
      <c r="N77" s="75" t="s">
        <v>772</v>
      </c>
    </row>
    <row r="78" spans="2:14" ht="12.75">
      <c r="B78" s="4"/>
      <c r="C78" s="32" t="s">
        <v>696</v>
      </c>
      <c r="D78" s="74" t="s">
        <v>220</v>
      </c>
      <c r="E78" s="32">
        <v>1</v>
      </c>
      <c r="F78" s="32" t="s">
        <v>169</v>
      </c>
      <c r="G78" s="36">
        <f t="shared" si="1"/>
        <v>0.0008928357226170888</v>
      </c>
      <c r="H78" s="35" t="str">
        <f>IF($C78="","",VLOOKUP($C78,$C$22:$H$72,4,FALSE))</f>
        <v>kg/kg coal</v>
      </c>
      <c r="I78" s="261">
        <f>IF(D78="","",E78*G78*$D$5)</f>
        <v>0.0008928357226170888</v>
      </c>
      <c r="J78" s="259" t="s">
        <v>169</v>
      </c>
      <c r="K78" s="33" t="s">
        <v>154</v>
      </c>
      <c r="L78" s="32" t="s">
        <v>124</v>
      </c>
      <c r="M78" s="254">
        <v>7</v>
      </c>
      <c r="N78" s="152" t="s">
        <v>773</v>
      </c>
    </row>
    <row r="79" spans="2:14" ht="12.75">
      <c r="B79" s="4"/>
      <c r="C79" s="32" t="s">
        <v>723</v>
      </c>
      <c r="D79" s="73" t="s">
        <v>770</v>
      </c>
      <c r="E79" s="32">
        <v>1</v>
      </c>
      <c r="F79" s="65" t="s">
        <v>169</v>
      </c>
      <c r="G79" s="35">
        <f t="shared" si="1"/>
        <v>0.0001011111111111111</v>
      </c>
      <c r="H79" s="35" t="str">
        <f>IF($C79="","",VLOOKUP($C79,$C$22:$H$72,4,FALSE))</f>
        <v>kg/kg coal</v>
      </c>
      <c r="I79" s="261">
        <f>IF(D79="","",E79*G79*$D$5)</f>
        <v>0.0001011111111111111</v>
      </c>
      <c r="J79" s="260" t="s">
        <v>169</v>
      </c>
      <c r="K79" s="33" t="s">
        <v>154</v>
      </c>
      <c r="L79" s="32" t="s">
        <v>124</v>
      </c>
      <c r="M79" s="255" t="s">
        <v>771</v>
      </c>
      <c r="N79" s="75" t="s">
        <v>774</v>
      </c>
    </row>
    <row r="80" spans="2:14" ht="12.75">
      <c r="B80" s="4"/>
      <c r="C80" s="32" t="s">
        <v>698</v>
      </c>
      <c r="D80" s="73" t="s">
        <v>221</v>
      </c>
      <c r="E80" s="32">
        <v>1</v>
      </c>
      <c r="F80" s="65" t="s">
        <v>168</v>
      </c>
      <c r="G80" s="35">
        <f t="shared" si="1"/>
        <v>0.0014027919402051752</v>
      </c>
      <c r="H80" s="35" t="str">
        <f>IF($C80="","",VLOOKUP($C80,$C$22:$H$72,4,FALSE))</f>
        <v>kWh/kg coal</v>
      </c>
      <c r="I80" s="261">
        <f>IF(D80="","",E80*G80*$D$5)</f>
        <v>0.0014027919402051752</v>
      </c>
      <c r="J80" s="260" t="s">
        <v>168</v>
      </c>
      <c r="K80" s="33" t="s">
        <v>154</v>
      </c>
      <c r="L80" s="32" t="s">
        <v>124</v>
      </c>
      <c r="M80" s="34">
        <v>12</v>
      </c>
      <c r="N80" s="75" t="s">
        <v>775</v>
      </c>
    </row>
    <row r="81" spans="2:14" ht="12.75">
      <c r="B81" s="4"/>
      <c r="C81" s="32" t="s">
        <v>708</v>
      </c>
      <c r="D81" s="74" t="s">
        <v>222</v>
      </c>
      <c r="E81" s="32">
        <v>1</v>
      </c>
      <c r="F81" s="65" t="s">
        <v>169</v>
      </c>
      <c r="G81" s="35">
        <f t="shared" si="1"/>
        <v>0.030346925248003063</v>
      </c>
      <c r="H81" s="35" t="str">
        <f>IF($C81="","",VLOOKUP($C81,$C$22:$H$72,4,FALSE))</f>
        <v>kg/kg coal</v>
      </c>
      <c r="I81" s="261">
        <f>IF(D81="","",E81*G81*$D$5)</f>
        <v>0.030346925248003063</v>
      </c>
      <c r="J81" s="260" t="s">
        <v>169</v>
      </c>
      <c r="K81" s="33"/>
      <c r="L81" s="32" t="s">
        <v>124</v>
      </c>
      <c r="M81" s="34">
        <v>11</v>
      </c>
      <c r="N81" s="75" t="s">
        <v>776</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42" t="s">
        <v>97</v>
      </c>
      <c r="C85" s="343"/>
      <c r="D85" s="343"/>
      <c r="E85" s="343"/>
      <c r="F85" s="343"/>
      <c r="G85" s="343"/>
      <c r="H85" s="343"/>
      <c r="I85" s="343"/>
      <c r="J85" s="343"/>
      <c r="K85" s="343"/>
      <c r="L85" s="343"/>
      <c r="M85" s="343"/>
      <c r="N85" s="344"/>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Northern Appalachia 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6" t="s">
        <v>701</v>
      </c>
      <c r="D90" s="256" t="s">
        <v>223</v>
      </c>
      <c r="E90" s="32">
        <v>1</v>
      </c>
      <c r="F90" s="32" t="s">
        <v>169</v>
      </c>
      <c r="G90" s="35">
        <f t="shared" si="2"/>
        <v>0.0028092338935927093</v>
      </c>
      <c r="H90" s="35" t="str">
        <f t="shared" si="3"/>
        <v>kg/kg coal</v>
      </c>
      <c r="I90" s="261">
        <f>IF(D90="","",E90*G90*$D$5)</f>
        <v>0.0028092338935927093</v>
      </c>
      <c r="J90" s="256" t="str">
        <f aca="true" t="shared" si="4" ref="J90:J113">IF(H90="",F90,H90)</f>
        <v>kg/kg coal</v>
      </c>
      <c r="K90" s="33"/>
      <c r="L90" s="32" t="s">
        <v>124</v>
      </c>
      <c r="M90" s="34">
        <f>H31</f>
        <v>10</v>
      </c>
      <c r="N90" s="75" t="s">
        <v>228</v>
      </c>
    </row>
    <row r="91" spans="2:14" ht="12.75">
      <c r="B91" s="4"/>
      <c r="C91" s="256" t="s">
        <v>693</v>
      </c>
      <c r="D91" s="256" t="s">
        <v>226</v>
      </c>
      <c r="E91" s="32">
        <v>1</v>
      </c>
      <c r="F91" s="32" t="s">
        <v>169</v>
      </c>
      <c r="G91" s="35">
        <f t="shared" si="2"/>
        <v>6.970896346340609E-12</v>
      </c>
      <c r="H91" s="35" t="str">
        <f t="shared" si="3"/>
        <v>kg/kg coal</v>
      </c>
      <c r="I91" s="261">
        <f aca="true" t="shared" si="5" ref="I91:I113">IF(D91="","",E91*G91*$D$5)</f>
        <v>6.970896346340609E-12</v>
      </c>
      <c r="J91" s="256" t="str">
        <f t="shared" si="4"/>
        <v>kg/kg coal</v>
      </c>
      <c r="K91" s="33"/>
      <c r="L91" s="32" t="s">
        <v>124</v>
      </c>
      <c r="M91" s="34" t="str">
        <f>H27</f>
        <v>4,5,6,7,8,9</v>
      </c>
      <c r="N91" s="75" t="s">
        <v>228</v>
      </c>
    </row>
    <row r="92" spans="2:14" ht="12.75">
      <c r="B92" s="4"/>
      <c r="C92" s="256" t="s">
        <v>685</v>
      </c>
      <c r="D92" s="256" t="s">
        <v>224</v>
      </c>
      <c r="E92" s="32">
        <v>1</v>
      </c>
      <c r="F92" s="32" t="s">
        <v>169</v>
      </c>
      <c r="G92" s="35">
        <f t="shared" si="2"/>
        <v>0.00025263700021185896</v>
      </c>
      <c r="H92" s="35" t="str">
        <f t="shared" si="3"/>
        <v>kg/kg coal</v>
      </c>
      <c r="I92" s="261">
        <f t="shared" si="5"/>
        <v>0.00025263700021185896</v>
      </c>
      <c r="J92" s="256" t="str">
        <f t="shared" si="4"/>
        <v>kg/kg coal</v>
      </c>
      <c r="K92" s="33"/>
      <c r="L92" s="32" t="s">
        <v>124</v>
      </c>
      <c r="M92" s="34">
        <f>H23</f>
        <v>2</v>
      </c>
      <c r="N92" s="75" t="s">
        <v>228</v>
      </c>
    </row>
    <row r="93" spans="2:14" ht="12.75">
      <c r="B93" s="4"/>
      <c r="C93" s="82" t="s">
        <v>689</v>
      </c>
      <c r="D93" s="256" t="s">
        <v>777</v>
      </c>
      <c r="E93" s="32">
        <v>1</v>
      </c>
      <c r="F93" s="32" t="s">
        <v>169</v>
      </c>
      <c r="G93" s="35">
        <f t="shared" si="2"/>
        <v>2.4900000000000002E-05</v>
      </c>
      <c r="H93" s="35" t="str">
        <f t="shared" si="3"/>
        <v>kg/kg coal</v>
      </c>
      <c r="I93" s="261">
        <f t="shared" si="5"/>
        <v>2.4900000000000002E-05</v>
      </c>
      <c r="J93" s="256" t="str">
        <f t="shared" si="4"/>
        <v>kg/kg coal</v>
      </c>
      <c r="K93" s="33"/>
      <c r="L93" s="32" t="s">
        <v>124</v>
      </c>
      <c r="M93" s="34">
        <f>H25</f>
        <v>14</v>
      </c>
      <c r="N93" s="75" t="s">
        <v>228</v>
      </c>
    </row>
    <row r="94" spans="2:14" ht="12.75">
      <c r="B94" s="4"/>
      <c r="C94" s="256" t="s">
        <v>706</v>
      </c>
      <c r="D94" s="256" t="s">
        <v>778</v>
      </c>
      <c r="E94" s="32">
        <v>1</v>
      </c>
      <c r="F94" s="32" t="s">
        <v>169</v>
      </c>
      <c r="G94" s="35">
        <f t="shared" si="2"/>
        <v>2.675700524027908E-11</v>
      </c>
      <c r="H94" s="35" t="str">
        <f t="shared" si="3"/>
        <v>kg/kg coal</v>
      </c>
      <c r="I94" s="261">
        <f t="shared" si="5"/>
        <v>2.675700524027908E-11</v>
      </c>
      <c r="J94" s="256" t="str">
        <f t="shared" si="4"/>
        <v>kg/kg coal</v>
      </c>
      <c r="K94" s="33"/>
      <c r="L94" s="32" t="s">
        <v>124</v>
      </c>
      <c r="M94" s="34"/>
      <c r="N94" s="75" t="s">
        <v>228</v>
      </c>
    </row>
    <row r="95" spans="2:14" ht="12.75">
      <c r="B95" s="4"/>
      <c r="C95" s="256" t="s">
        <v>686</v>
      </c>
      <c r="D95" s="256" t="s">
        <v>225</v>
      </c>
      <c r="E95" s="32">
        <v>1</v>
      </c>
      <c r="F95" s="32" t="s">
        <v>169</v>
      </c>
      <c r="G95" s="35">
        <f t="shared" si="2"/>
        <v>9.454627087077075E-05</v>
      </c>
      <c r="H95" s="35" t="str">
        <f t="shared" si="3"/>
        <v>kg/kg coal</v>
      </c>
      <c r="I95" s="261">
        <f t="shared" si="5"/>
        <v>9.454627087077075E-05</v>
      </c>
      <c r="J95" s="256" t="str">
        <f t="shared" si="4"/>
        <v>kg/kg coal</v>
      </c>
      <c r="K95" s="33"/>
      <c r="L95" s="32" t="s">
        <v>124</v>
      </c>
      <c r="M95" s="34" t="str">
        <f>H24</f>
        <v>3,4</v>
      </c>
      <c r="N95" s="75" t="s">
        <v>228</v>
      </c>
    </row>
    <row r="96" spans="2:14" ht="12.75">
      <c r="B96" s="4"/>
      <c r="C96" s="256" t="s">
        <v>690</v>
      </c>
      <c r="D96" s="256" t="s">
        <v>779</v>
      </c>
      <c r="E96" s="32">
        <v>1</v>
      </c>
      <c r="F96" s="32" t="s">
        <v>169</v>
      </c>
      <c r="G96" s="35">
        <f t="shared" si="2"/>
        <v>3.4764826175869123E-07</v>
      </c>
      <c r="H96" s="35" t="str">
        <f t="shared" si="3"/>
        <v>kg/kg coal</v>
      </c>
      <c r="I96" s="261">
        <f t="shared" si="5"/>
        <v>3.4764826175869123E-07</v>
      </c>
      <c r="J96" s="256" t="str">
        <f t="shared" si="4"/>
        <v>kg/kg coal</v>
      </c>
      <c r="K96" s="33"/>
      <c r="L96" s="32" t="s">
        <v>124</v>
      </c>
      <c r="M96" s="34" t="str">
        <f>H26</f>
        <v>4,5,6,7,8,9</v>
      </c>
      <c r="N96" s="75" t="s">
        <v>228</v>
      </c>
    </row>
    <row r="97" spans="2:14" ht="12.75">
      <c r="B97" s="4"/>
      <c r="C97" s="257" t="s">
        <v>717</v>
      </c>
      <c r="D97" s="32" t="s">
        <v>230</v>
      </c>
      <c r="E97" s="32">
        <v>1</v>
      </c>
      <c r="F97" s="32" t="s">
        <v>169</v>
      </c>
      <c r="G97" s="35">
        <f t="shared" si="2"/>
        <v>1.3962250062259618E-13</v>
      </c>
      <c r="H97" s="35" t="str">
        <f t="shared" si="3"/>
        <v>kg/kg coal</v>
      </c>
      <c r="I97" s="261">
        <f t="shared" si="5"/>
        <v>1.3962250062259618E-13</v>
      </c>
      <c r="J97" s="256" t="str">
        <f t="shared" si="4"/>
        <v>kg/kg coal</v>
      </c>
      <c r="K97" s="33"/>
      <c r="L97" s="32" t="s">
        <v>124</v>
      </c>
      <c r="M97" s="34">
        <f>H40</f>
        <v>13</v>
      </c>
      <c r="N97" s="75" t="s">
        <v>228</v>
      </c>
    </row>
    <row r="98" spans="2:14" ht="12.75">
      <c r="B98" s="4"/>
      <c r="C98" s="257" t="s">
        <v>713</v>
      </c>
      <c r="D98" s="32" t="s">
        <v>231</v>
      </c>
      <c r="E98" s="32">
        <v>1</v>
      </c>
      <c r="F98" s="32" t="s">
        <v>169</v>
      </c>
      <c r="G98" s="35">
        <f t="shared" si="2"/>
        <v>1.1560201298112204E-07</v>
      </c>
      <c r="H98" s="35" t="str">
        <f t="shared" si="3"/>
        <v>kg/kg coal</v>
      </c>
      <c r="I98" s="261">
        <f t="shared" si="5"/>
        <v>1.1560201298112204E-07</v>
      </c>
      <c r="J98" s="256" t="str">
        <f t="shared" si="4"/>
        <v>kg/kg coal</v>
      </c>
      <c r="K98" s="33"/>
      <c r="L98" s="32" t="s">
        <v>124</v>
      </c>
      <c r="M98" s="34">
        <f>H37</f>
        <v>12</v>
      </c>
      <c r="N98" s="75" t="s">
        <v>228</v>
      </c>
    </row>
    <row r="99" spans="2:14" ht="12.75">
      <c r="B99" s="4"/>
      <c r="C99" s="256" t="s">
        <v>740</v>
      </c>
      <c r="D99" s="256" t="s">
        <v>780</v>
      </c>
      <c r="E99" s="32">
        <v>1</v>
      </c>
      <c r="F99" s="32" t="s">
        <v>169</v>
      </c>
      <c r="G99" s="35">
        <f t="shared" si="2"/>
        <v>3.0004692540225785E-05</v>
      </c>
      <c r="H99" s="35" t="str">
        <f t="shared" si="3"/>
        <v>kg/kg coal</v>
      </c>
      <c r="I99" s="261">
        <f t="shared" si="5"/>
        <v>3.0004692540225785E-05</v>
      </c>
      <c r="J99" s="256" t="str">
        <f t="shared" si="4"/>
        <v>kg/kg coal</v>
      </c>
      <c r="K99" s="33"/>
      <c r="L99" s="32" t="s">
        <v>124</v>
      </c>
      <c r="M99" s="251">
        <v>15</v>
      </c>
      <c r="N99" s="75" t="s">
        <v>228</v>
      </c>
    </row>
    <row r="100" spans="2:14" ht="12.75">
      <c r="B100" s="4"/>
      <c r="C100" s="257" t="str">
        <f>C58</f>
        <v>E_w_N</v>
      </c>
      <c r="D100" s="256" t="s">
        <v>781</v>
      </c>
      <c r="E100" s="32">
        <v>1</v>
      </c>
      <c r="F100" s="65" t="s">
        <v>169</v>
      </c>
      <c r="G100" s="35">
        <f t="shared" si="2"/>
        <v>9.038846772367482E-05</v>
      </c>
      <c r="H100" s="35" t="str">
        <f t="shared" si="3"/>
        <v>kg/kg coal</v>
      </c>
      <c r="I100" s="261">
        <f t="shared" si="5"/>
        <v>9.038846772367482E-05</v>
      </c>
      <c r="J100" s="256" t="str">
        <f t="shared" si="4"/>
        <v>kg/kg coal</v>
      </c>
      <c r="K100" s="33"/>
      <c r="L100" s="32" t="s">
        <v>124</v>
      </c>
      <c r="M100" s="251">
        <v>15</v>
      </c>
      <c r="N100" s="75" t="s">
        <v>229</v>
      </c>
    </row>
    <row r="101" spans="2:14" ht="12.75">
      <c r="B101" s="4"/>
      <c r="C101" s="257" t="str">
        <f>C59</f>
        <v>E_w_P</v>
      </c>
      <c r="D101" s="256" t="s">
        <v>782</v>
      </c>
      <c r="E101" s="32">
        <v>1</v>
      </c>
      <c r="F101" s="65" t="s">
        <v>169</v>
      </c>
      <c r="G101" s="35">
        <f t="shared" si="2"/>
        <v>8.93951878585795E-07</v>
      </c>
      <c r="H101" s="35" t="str">
        <f t="shared" si="3"/>
        <v>kg/kg coal</v>
      </c>
      <c r="I101" s="261">
        <f t="shared" si="5"/>
        <v>8.93951878585795E-07</v>
      </c>
      <c r="J101" s="256" t="str">
        <f t="shared" si="4"/>
        <v>kg/kg coal</v>
      </c>
      <c r="K101" s="33"/>
      <c r="L101" s="32" t="s">
        <v>124</v>
      </c>
      <c r="M101" s="251">
        <v>15</v>
      </c>
      <c r="N101" s="75" t="s">
        <v>229</v>
      </c>
    </row>
    <row r="102" spans="2:14" ht="12.75">
      <c r="B102" s="4"/>
      <c r="C102" s="257" t="str">
        <f>C64</f>
        <v>E_w_Al</v>
      </c>
      <c r="D102" s="256" t="s">
        <v>783</v>
      </c>
      <c r="E102" s="32">
        <v>1</v>
      </c>
      <c r="F102" s="65" t="s">
        <v>169</v>
      </c>
      <c r="G102" s="35">
        <f t="shared" si="2"/>
        <v>2.478954876990048E-06</v>
      </c>
      <c r="H102" s="35" t="str">
        <f t="shared" si="3"/>
        <v>kg/kg coal</v>
      </c>
      <c r="I102" s="261">
        <f t="shared" si="5"/>
        <v>2.478954876990048E-06</v>
      </c>
      <c r="J102" s="256" t="str">
        <f t="shared" si="4"/>
        <v>kg/kg coal</v>
      </c>
      <c r="K102" s="33"/>
      <c r="L102" s="32" t="s">
        <v>124</v>
      </c>
      <c r="M102" s="251">
        <v>15</v>
      </c>
      <c r="N102" s="75" t="s">
        <v>229</v>
      </c>
    </row>
    <row r="103" spans="2:14" ht="12.75">
      <c r="B103" s="4"/>
      <c r="C103" s="257" t="str">
        <f>C60</f>
        <v>E_w_Selenium</v>
      </c>
      <c r="D103" s="257" t="s">
        <v>784</v>
      </c>
      <c r="E103" s="32">
        <v>1</v>
      </c>
      <c r="F103" s="65" t="s">
        <v>169</v>
      </c>
      <c r="G103" s="35">
        <f t="shared" si="2"/>
        <v>1.115066627109347E-07</v>
      </c>
      <c r="H103" s="35" t="str">
        <f t="shared" si="3"/>
        <v>kg/kg coal</v>
      </c>
      <c r="I103" s="261">
        <f t="shared" si="5"/>
        <v>1.115066627109347E-07</v>
      </c>
      <c r="J103" s="256" t="str">
        <f t="shared" si="4"/>
        <v>kg/kg coal</v>
      </c>
      <c r="K103" s="33"/>
      <c r="L103" s="32" t="s">
        <v>124</v>
      </c>
      <c r="M103" s="251">
        <v>15</v>
      </c>
      <c r="N103" s="75" t="s">
        <v>229</v>
      </c>
    </row>
    <row r="104" spans="2:14" ht="12.75">
      <c r="B104" s="4"/>
      <c r="C104" s="73" t="str">
        <f>C61</f>
        <v>E_w_SO4</v>
      </c>
      <c r="D104" s="257" t="s">
        <v>785</v>
      </c>
      <c r="E104" s="32">
        <v>1</v>
      </c>
      <c r="F104" s="65" t="s">
        <v>169</v>
      </c>
      <c r="G104" s="35">
        <f t="shared" si="2"/>
        <v>0.04200809767918546</v>
      </c>
      <c r="H104" s="35" t="str">
        <f t="shared" si="3"/>
        <v>kg/kg coal</v>
      </c>
      <c r="I104" s="261">
        <f t="shared" si="5"/>
        <v>0.04200809767918546</v>
      </c>
      <c r="J104" s="256" t="str">
        <f t="shared" si="4"/>
        <v>kg/kg coal</v>
      </c>
      <c r="K104" s="33"/>
      <c r="L104" s="32" t="s">
        <v>124</v>
      </c>
      <c r="M104" s="251">
        <v>15</v>
      </c>
      <c r="N104" s="75" t="s">
        <v>229</v>
      </c>
    </row>
    <row r="105" spans="2:14" ht="12.75">
      <c r="B105" s="4"/>
      <c r="C105" s="73" t="s">
        <v>751</v>
      </c>
      <c r="D105" s="257" t="s">
        <v>786</v>
      </c>
      <c r="E105" s="32">
        <v>1</v>
      </c>
      <c r="F105" s="65" t="s">
        <v>169</v>
      </c>
      <c r="G105" s="35">
        <f t="shared" si="2"/>
        <v>0.0875159363121051</v>
      </c>
      <c r="H105" s="35" t="str">
        <f t="shared" si="3"/>
        <v>kg/kg coal</v>
      </c>
      <c r="I105" s="261">
        <f t="shared" si="5"/>
        <v>0.0875159363121051</v>
      </c>
      <c r="J105" s="256" t="str">
        <f t="shared" si="4"/>
        <v>kg/kg coal</v>
      </c>
      <c r="K105" s="33"/>
      <c r="L105" s="32" t="s">
        <v>124</v>
      </c>
      <c r="M105" s="251">
        <v>15</v>
      </c>
      <c r="N105" s="75" t="s">
        <v>229</v>
      </c>
    </row>
    <row r="106" spans="2:14" ht="12.75">
      <c r="B106" s="4"/>
      <c r="C106" s="73" t="s">
        <v>753</v>
      </c>
      <c r="D106" s="257" t="s">
        <v>787</v>
      </c>
      <c r="E106" s="32">
        <v>1</v>
      </c>
      <c r="F106" s="65" t="s">
        <v>169</v>
      </c>
      <c r="G106" s="35">
        <f t="shared" si="2"/>
        <v>0.002567246420554077</v>
      </c>
      <c r="H106" s="35" t="str">
        <f t="shared" si="3"/>
        <v>kg/kg coal</v>
      </c>
      <c r="I106" s="261">
        <f t="shared" si="5"/>
        <v>0.002567246420554077</v>
      </c>
      <c r="J106" s="256" t="str">
        <f t="shared" si="4"/>
        <v>kg/kg coal</v>
      </c>
      <c r="K106" s="33"/>
      <c r="L106" s="32" t="s">
        <v>124</v>
      </c>
      <c r="M106" s="251">
        <v>15</v>
      </c>
      <c r="N106" s="75" t="s">
        <v>229</v>
      </c>
    </row>
    <row r="107" spans="2:14" ht="12.75">
      <c r="B107" s="4"/>
      <c r="C107" s="73" t="s">
        <v>757</v>
      </c>
      <c r="D107" s="257" t="s">
        <v>788</v>
      </c>
      <c r="E107" s="32">
        <v>1</v>
      </c>
      <c r="F107" s="65" t="s">
        <v>169</v>
      </c>
      <c r="G107" s="35">
        <f t="shared" si="2"/>
        <v>1.3243731534604365E-07</v>
      </c>
      <c r="H107" s="35" t="str">
        <f t="shared" si="3"/>
        <v>kg/kg coal</v>
      </c>
      <c r="I107" s="261">
        <f t="shared" si="5"/>
        <v>1.3243731534604365E-07</v>
      </c>
      <c r="J107" s="256" t="str">
        <f t="shared" si="4"/>
        <v>kg/kg coal</v>
      </c>
      <c r="K107" s="33"/>
      <c r="L107" s="32" t="s">
        <v>124</v>
      </c>
      <c r="M107" s="251">
        <v>15</v>
      </c>
      <c r="N107" s="75" t="s">
        <v>229</v>
      </c>
    </row>
    <row r="108" spans="2:14" ht="12.75">
      <c r="B108" s="4"/>
      <c r="C108" s="73" t="s">
        <v>759</v>
      </c>
      <c r="D108" s="257" t="s">
        <v>789</v>
      </c>
      <c r="E108" s="32">
        <v>1</v>
      </c>
      <c r="F108" s="65" t="s">
        <v>169</v>
      </c>
      <c r="G108" s="35">
        <f t="shared" si="2"/>
        <v>1.344748125052136E-07</v>
      </c>
      <c r="H108" s="35" t="str">
        <f t="shared" si="3"/>
        <v>kg/kg coal</v>
      </c>
      <c r="I108" s="261">
        <f t="shared" si="5"/>
        <v>1.344748125052136E-07</v>
      </c>
      <c r="J108" s="256" t="str">
        <f t="shared" si="4"/>
        <v>kg/kg coal</v>
      </c>
      <c r="K108" s="33"/>
      <c r="L108" s="32" t="s">
        <v>124</v>
      </c>
      <c r="M108" s="251">
        <v>15</v>
      </c>
      <c r="N108" s="75" t="s">
        <v>229</v>
      </c>
    </row>
    <row r="109" spans="2:14" ht="12.75">
      <c r="B109" s="4"/>
      <c r="C109" s="73" t="s">
        <v>761</v>
      </c>
      <c r="D109" s="257" t="s">
        <v>227</v>
      </c>
      <c r="E109" s="32">
        <v>1</v>
      </c>
      <c r="F109" s="65" t="s">
        <v>169</v>
      </c>
      <c r="G109" s="35">
        <f t="shared" si="2"/>
        <v>4.3199053031577716E-05</v>
      </c>
      <c r="H109" s="35" t="str">
        <f t="shared" si="3"/>
        <v>kg/kg coal</v>
      </c>
      <c r="I109" s="261">
        <f t="shared" si="5"/>
        <v>4.3199053031577716E-05</v>
      </c>
      <c r="J109" s="256" t="str">
        <f t="shared" si="4"/>
        <v>kg/kg coal</v>
      </c>
      <c r="K109" s="33"/>
      <c r="L109" s="32" t="s">
        <v>124</v>
      </c>
      <c r="M109" s="251">
        <v>15</v>
      </c>
      <c r="N109" s="75" t="s">
        <v>229</v>
      </c>
    </row>
    <row r="110" spans="2:14" ht="12.75">
      <c r="B110" s="4"/>
      <c r="C110" s="73" t="s">
        <v>763</v>
      </c>
      <c r="D110" s="257" t="s">
        <v>790</v>
      </c>
      <c r="E110" s="32">
        <v>1</v>
      </c>
      <c r="F110" s="65" t="s">
        <v>169</v>
      </c>
      <c r="G110" s="35">
        <f t="shared" si="2"/>
        <v>5.348430042820996E-08</v>
      </c>
      <c r="H110" s="35" t="str">
        <f t="shared" si="3"/>
        <v>kg/kg coal</v>
      </c>
      <c r="I110" s="261">
        <f t="shared" si="5"/>
        <v>5.348430042820996E-08</v>
      </c>
      <c r="J110" s="256" t="str">
        <f t="shared" si="4"/>
        <v>kg/kg coal</v>
      </c>
      <c r="K110" s="33"/>
      <c r="L110" s="32" t="s">
        <v>124</v>
      </c>
      <c r="M110" s="251">
        <v>15</v>
      </c>
      <c r="N110" s="75" t="s">
        <v>229</v>
      </c>
    </row>
    <row r="111" spans="2:14" ht="12.75">
      <c r="B111" s="4"/>
      <c r="C111" s="73" t="s">
        <v>765</v>
      </c>
      <c r="D111" s="257" t="s">
        <v>791</v>
      </c>
      <c r="E111" s="32">
        <v>1</v>
      </c>
      <c r="F111" s="65" t="s">
        <v>169</v>
      </c>
      <c r="G111" s="35">
        <f t="shared" si="2"/>
        <v>1.2114958108424239E-05</v>
      </c>
      <c r="H111" s="35" t="str">
        <f t="shared" si="3"/>
        <v>kg/kg coal</v>
      </c>
      <c r="I111" s="261">
        <f t="shared" si="5"/>
        <v>1.2114958108424239E-05</v>
      </c>
      <c r="J111" s="256" t="str">
        <f t="shared" si="4"/>
        <v>kg/kg coal</v>
      </c>
      <c r="K111" s="33"/>
      <c r="L111" s="32" t="s">
        <v>124</v>
      </c>
      <c r="M111" s="251">
        <v>15</v>
      </c>
      <c r="N111" s="75" t="s">
        <v>229</v>
      </c>
    </row>
    <row r="112" spans="2:14" ht="12.75">
      <c r="B112" s="4"/>
      <c r="C112" s="73" t="s">
        <v>767</v>
      </c>
      <c r="D112" s="257" t="s">
        <v>792</v>
      </c>
      <c r="E112" s="32">
        <v>1</v>
      </c>
      <c r="F112" s="65" t="s">
        <v>169</v>
      </c>
      <c r="G112" s="35">
        <f t="shared" si="2"/>
        <v>4.889993182007766E-07</v>
      </c>
      <c r="H112" s="35" t="str">
        <f t="shared" si="3"/>
        <v>kg/kg coal</v>
      </c>
      <c r="I112" s="261">
        <f t="shared" si="5"/>
        <v>4.889993182007766E-07</v>
      </c>
      <c r="J112" s="256" t="str">
        <f t="shared" si="4"/>
        <v>kg/kg coal</v>
      </c>
      <c r="K112" s="33"/>
      <c r="L112" s="32" t="s">
        <v>124</v>
      </c>
      <c r="M112" s="251">
        <v>15</v>
      </c>
      <c r="N112" s="75" t="s">
        <v>229</v>
      </c>
    </row>
    <row r="113" spans="2:14" ht="12.75">
      <c r="B113" s="4"/>
      <c r="C113" s="73" t="s">
        <v>710</v>
      </c>
      <c r="D113" s="257" t="s">
        <v>793</v>
      </c>
      <c r="E113" s="32">
        <v>1</v>
      </c>
      <c r="F113" s="65" t="s">
        <v>169</v>
      </c>
      <c r="G113" s="35">
        <f t="shared" si="2"/>
        <v>0.04889993182007766</v>
      </c>
      <c r="H113" s="35" t="str">
        <f t="shared" si="3"/>
        <v>kg/kg coal</v>
      </c>
      <c r="I113" s="261">
        <f t="shared" si="5"/>
        <v>0.04889993182007766</v>
      </c>
      <c r="J113" s="256" t="str">
        <f t="shared" si="4"/>
        <v>kg/kg coal</v>
      </c>
      <c r="K113" s="33"/>
      <c r="L113" s="32" t="s">
        <v>124</v>
      </c>
      <c r="M113" s="251">
        <v>15</v>
      </c>
      <c r="N113" s="75" t="s">
        <v>229</v>
      </c>
    </row>
    <row r="114" spans="2:14" ht="12.75">
      <c r="B114" s="4"/>
      <c r="C114" s="257"/>
      <c r="D114" s="256"/>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85:N85"/>
    <mergeCell ref="B74:N74"/>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809</v>
      </c>
      <c r="U4" s="316" t="s">
        <v>902</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810</v>
      </c>
      <c r="U5" s="317" t="s">
        <v>903</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811</v>
      </c>
      <c r="U7" s="318" t="s">
        <v>904</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812</v>
      </c>
      <c r="U8" s="318" t="s">
        <v>905</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7" t="s">
        <v>906</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7"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8" t="s">
        <v>907</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8" t="s">
        <v>908</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9" t="s">
        <v>909</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910</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317"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9"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8"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6" t="s">
        <v>911</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819</v>
      </c>
      <c r="C25" s="147" t="s">
        <v>820</v>
      </c>
      <c r="D25" s="111" t="s">
        <v>821</v>
      </c>
      <c r="E25" s="111" t="s">
        <v>822</v>
      </c>
      <c r="F25" s="111" t="s">
        <v>823</v>
      </c>
      <c r="G25" s="111" t="s">
        <v>824</v>
      </c>
      <c r="H25" s="111" t="s">
        <v>825</v>
      </c>
      <c r="I25" s="111" t="s">
        <v>826</v>
      </c>
      <c r="J25" s="111" t="s">
        <v>827</v>
      </c>
      <c r="K25" s="111" t="s">
        <v>828</v>
      </c>
      <c r="L25" s="111" t="s">
        <v>829</v>
      </c>
      <c r="M25" s="111" t="s">
        <v>830</v>
      </c>
      <c r="N25" s="111" t="s">
        <v>831</v>
      </c>
      <c r="O25" s="111" t="s">
        <v>832</v>
      </c>
      <c r="P25" s="111" t="s">
        <v>833</v>
      </c>
      <c r="Q25" s="111" t="s">
        <v>834</v>
      </c>
      <c r="R25" s="111" t="s">
        <v>835</v>
      </c>
      <c r="S25" s="111" t="s">
        <v>836</v>
      </c>
      <c r="T25" s="111" t="s">
        <v>837</v>
      </c>
      <c r="U25" s="317" t="s">
        <v>912</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317" t="s">
        <v>913</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74" t="s">
        <v>216</v>
      </c>
      <c r="B1" s="374"/>
      <c r="C1" s="374"/>
      <c r="D1" s="374"/>
      <c r="E1" s="374"/>
      <c r="F1" s="374"/>
      <c r="G1" s="374"/>
      <c r="H1" s="374"/>
      <c r="I1" s="374"/>
      <c r="J1" s="374"/>
      <c r="K1" s="374"/>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64"/>
      <c r="M6" s="364"/>
      <c r="N6" s="364"/>
      <c r="O6" s="364"/>
      <c r="P6" s="364"/>
      <c r="Q6" s="364"/>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2" customFormat="1" ht="39" customHeight="1">
      <c r="B10" s="263" t="s">
        <v>184</v>
      </c>
      <c r="C10" s="264" t="s">
        <v>271</v>
      </c>
      <c r="D10" s="264">
        <v>2</v>
      </c>
      <c r="E10" s="264">
        <v>3</v>
      </c>
      <c r="F10" s="264">
        <v>5</v>
      </c>
      <c r="G10" s="264">
        <v>2</v>
      </c>
      <c r="H10" s="264">
        <v>2</v>
      </c>
      <c r="I10" s="265" t="s">
        <v>58</v>
      </c>
      <c r="J10" s="265" t="s">
        <v>60</v>
      </c>
      <c r="K10" s="266" t="s">
        <v>232</v>
      </c>
      <c r="L10" s="267"/>
      <c r="M10" s="267"/>
      <c r="N10" s="267"/>
      <c r="O10" s="267"/>
      <c r="P10" s="267"/>
      <c r="Q10" s="267"/>
      <c r="R10" s="267"/>
      <c r="S10" s="267"/>
      <c r="T10" s="267"/>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3" t="s">
        <v>893</v>
      </c>
      <c r="C12" s="136"/>
      <c r="D12" s="136"/>
      <c r="E12" s="136"/>
      <c r="F12" s="136"/>
      <c r="G12" s="136"/>
      <c r="H12" s="136"/>
      <c r="I12" s="137" t="s">
        <v>61</v>
      </c>
      <c r="J12" s="136"/>
      <c r="K12" s="136"/>
    </row>
    <row r="13" spans="2:11" s="262" customFormat="1" ht="25.5" customHeight="1">
      <c r="B13" s="312" t="s">
        <v>81</v>
      </c>
      <c r="C13" s="284"/>
      <c r="D13" s="284"/>
      <c r="E13" s="284"/>
      <c r="F13" s="284"/>
      <c r="G13" s="284"/>
      <c r="H13" s="284"/>
      <c r="I13" s="285" t="s">
        <v>62</v>
      </c>
      <c r="J13" s="365" t="s">
        <v>263</v>
      </c>
      <c r="K13" s="365"/>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66" t="s">
        <v>0</v>
      </c>
      <c r="C17" s="368" t="s">
        <v>1</v>
      </c>
      <c r="D17" s="369"/>
      <c r="E17" s="369"/>
      <c r="F17" s="369"/>
      <c r="G17" s="370"/>
    </row>
    <row r="18" spans="2:7" ht="13.5" thickBot="1">
      <c r="B18" s="367"/>
      <c r="C18" s="67">
        <v>1</v>
      </c>
      <c r="D18" s="67">
        <v>2</v>
      </c>
      <c r="E18" s="67">
        <v>3</v>
      </c>
      <c r="F18" s="67">
        <v>4</v>
      </c>
      <c r="G18" s="67">
        <v>5</v>
      </c>
    </row>
    <row r="19" spans="2:7" ht="60.75" thickBot="1">
      <c r="B19" s="371" t="s">
        <v>246</v>
      </c>
      <c r="C19" s="68" t="s">
        <v>2</v>
      </c>
      <c r="D19" s="68" t="s">
        <v>3</v>
      </c>
      <c r="E19" s="68" t="s">
        <v>4</v>
      </c>
      <c r="F19" s="68" t="s">
        <v>5</v>
      </c>
      <c r="G19" s="68" t="s">
        <v>6</v>
      </c>
    </row>
    <row r="20" spans="2:7" ht="24" customHeight="1" thickBot="1">
      <c r="B20" s="372"/>
      <c r="C20" s="378" t="s">
        <v>7</v>
      </c>
      <c r="D20" s="379"/>
      <c r="E20" s="378" t="s">
        <v>8</v>
      </c>
      <c r="F20" s="383"/>
      <c r="G20" s="379"/>
    </row>
    <row r="21" spans="2:7" ht="36.75" thickBot="1">
      <c r="B21" s="373"/>
      <c r="C21" s="69" t="s">
        <v>9</v>
      </c>
      <c r="D21" s="384" t="s">
        <v>10</v>
      </c>
      <c r="E21" s="385"/>
      <c r="F21" s="386" t="s">
        <v>11</v>
      </c>
      <c r="G21" s="387"/>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78" t="s">
        <v>31</v>
      </c>
      <c r="E25" s="379"/>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75" t="s">
        <v>250</v>
      </c>
      <c r="D30" s="376"/>
      <c r="E30" s="376"/>
      <c r="F30" s="376"/>
      <c r="G30" s="376"/>
      <c r="H30" s="377"/>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80" t="s">
        <v>29</v>
      </c>
      <c r="D36" s="381"/>
      <c r="E36" s="381"/>
      <c r="F36" s="381"/>
      <c r="G36" s="381"/>
      <c r="H36" s="382"/>
      <c r="N36" s="47"/>
      <c r="O36" s="47"/>
      <c r="P36" s="47"/>
      <c r="Q36" s="48"/>
      <c r="R36" s="48"/>
    </row>
    <row r="37" spans="2:18" ht="41.25" customHeight="1">
      <c r="B37" s="156"/>
      <c r="C37" s="375" t="s">
        <v>256</v>
      </c>
      <c r="D37" s="376"/>
      <c r="E37" s="376"/>
      <c r="F37" s="376"/>
      <c r="G37" s="376"/>
      <c r="H37" s="377"/>
      <c r="N37" s="52"/>
      <c r="O37" s="52"/>
      <c r="P37" s="52"/>
      <c r="Q37" s="52"/>
      <c r="R37" s="48"/>
    </row>
    <row r="38" spans="2:18" ht="41.25" customHeight="1">
      <c r="B38" s="375" t="s">
        <v>257</v>
      </c>
      <c r="C38" s="376"/>
      <c r="D38" s="376"/>
      <c r="E38" s="376"/>
      <c r="F38" s="376"/>
      <c r="G38" s="376"/>
      <c r="H38" s="377"/>
      <c r="I38" s="48"/>
      <c r="J38" s="48"/>
      <c r="K38" s="48"/>
      <c r="L38" s="48"/>
      <c r="M38" s="48"/>
      <c r="N38" s="48"/>
      <c r="O38" s="48"/>
      <c r="P38" s="48"/>
      <c r="Q38" s="48"/>
      <c r="R38" s="48"/>
    </row>
    <row r="39" spans="2:9" ht="41.25" customHeight="1">
      <c r="B39" s="375" t="s">
        <v>258</v>
      </c>
      <c r="C39" s="376"/>
      <c r="D39" s="376"/>
      <c r="E39" s="376"/>
      <c r="F39" s="376"/>
      <c r="G39" s="376"/>
      <c r="H39" s="377"/>
      <c r="I39" s="66"/>
    </row>
    <row r="40" spans="2:9" ht="41.25" customHeight="1">
      <c r="B40" s="375" t="s">
        <v>259</v>
      </c>
      <c r="C40" s="376"/>
      <c r="D40" s="376"/>
      <c r="E40" s="376"/>
      <c r="F40" s="376"/>
      <c r="G40" s="376"/>
      <c r="H40" s="377"/>
      <c r="I40" s="66"/>
    </row>
    <row r="41" spans="2:9" ht="30" customHeight="1">
      <c r="B41" s="375" t="s">
        <v>260</v>
      </c>
      <c r="C41" s="376"/>
      <c r="D41" s="376"/>
      <c r="E41" s="376"/>
      <c r="F41" s="376"/>
      <c r="G41" s="376"/>
      <c r="H41" s="377"/>
      <c r="I41" s="66"/>
    </row>
    <row r="42" spans="1:9" ht="15.75">
      <c r="A42" s="131" t="s">
        <v>261</v>
      </c>
      <c r="B42" s="131"/>
      <c r="I42" s="71"/>
    </row>
    <row r="43" spans="2:8" ht="30" customHeight="1">
      <c r="B43" s="391" t="s">
        <v>34</v>
      </c>
      <c r="C43" s="392"/>
      <c r="D43" s="392"/>
      <c r="E43" s="392"/>
      <c r="F43" s="392"/>
      <c r="G43" s="392"/>
      <c r="H43" s="393"/>
    </row>
    <row r="44" spans="2:8" ht="12.75">
      <c r="B44" s="403" t="s">
        <v>35</v>
      </c>
      <c r="C44" s="404"/>
      <c r="D44" s="404"/>
      <c r="E44" s="404"/>
      <c r="F44" s="404"/>
      <c r="G44" s="56"/>
      <c r="H44" s="164"/>
    </row>
    <row r="45" spans="2:8" ht="30" customHeight="1">
      <c r="B45" s="394" t="s">
        <v>36</v>
      </c>
      <c r="C45" s="395"/>
      <c r="D45" s="395"/>
      <c r="E45" s="395"/>
      <c r="F45" s="395"/>
      <c r="G45" s="395"/>
      <c r="H45" s="396"/>
    </row>
    <row r="46" spans="2:8" ht="12.75">
      <c r="B46" s="165" t="s">
        <v>37</v>
      </c>
      <c r="C46" s="56"/>
      <c r="D46" s="56"/>
      <c r="E46" s="56"/>
      <c r="F46" s="56"/>
      <c r="G46" s="56"/>
      <c r="H46" s="164"/>
    </row>
    <row r="47" spans="2:8" ht="30" customHeight="1">
      <c r="B47" s="394" t="s">
        <v>38</v>
      </c>
      <c r="C47" s="395"/>
      <c r="D47" s="395"/>
      <c r="E47" s="395"/>
      <c r="F47" s="395"/>
      <c r="G47" s="395"/>
      <c r="H47" s="396"/>
    </row>
    <row r="48" spans="2:8" ht="12.75">
      <c r="B48" s="405" t="s">
        <v>288</v>
      </c>
      <c r="C48" s="406"/>
      <c r="D48" s="406"/>
      <c r="E48" s="406"/>
      <c r="F48" s="406"/>
      <c r="G48" s="406"/>
      <c r="H48" s="164"/>
    </row>
    <row r="49" spans="2:8" ht="30" customHeight="1">
      <c r="B49" s="394" t="s">
        <v>39</v>
      </c>
      <c r="C49" s="395"/>
      <c r="D49" s="395"/>
      <c r="E49" s="395"/>
      <c r="F49" s="395"/>
      <c r="G49" s="395"/>
      <c r="H49" s="396"/>
    </row>
    <row r="50" spans="2:8" ht="30" customHeight="1">
      <c r="B50" s="397" t="s">
        <v>40</v>
      </c>
      <c r="C50" s="398"/>
      <c r="D50" s="398"/>
      <c r="E50" s="398"/>
      <c r="F50" s="398"/>
      <c r="G50" s="398"/>
      <c r="H50" s="399"/>
    </row>
    <row r="51" spans="2:8" ht="30.75" customHeight="1">
      <c r="B51" s="400" t="s">
        <v>41</v>
      </c>
      <c r="C51" s="401"/>
      <c r="D51" s="401"/>
      <c r="E51" s="401"/>
      <c r="F51" s="401"/>
      <c r="G51" s="401"/>
      <c r="H51" s="402"/>
    </row>
    <row r="52" spans="2:8" ht="30" customHeight="1">
      <c r="B52" s="380" t="s">
        <v>42</v>
      </c>
      <c r="C52" s="381"/>
      <c r="D52" s="381"/>
      <c r="E52" s="381"/>
      <c r="F52" s="381"/>
      <c r="G52" s="381"/>
      <c r="H52" s="382"/>
    </row>
    <row r="53" spans="2:8" ht="12.75">
      <c r="B53" s="388" t="s">
        <v>43</v>
      </c>
      <c r="C53" s="389"/>
      <c r="D53" s="389"/>
      <c r="E53" s="389"/>
      <c r="F53" s="389"/>
      <c r="G53" s="389"/>
      <c r="H53" s="390"/>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838</v>
      </c>
      <c r="J5" s="272" t="s">
        <v>876</v>
      </c>
    </row>
    <row r="6" spans="1:37" ht="38.25">
      <c r="A6" s="407"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8"/>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8"/>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8"/>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8"/>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8"/>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9"/>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7" t="s">
        <v>302</v>
      </c>
      <c r="B13" s="173" t="s">
        <v>303</v>
      </c>
      <c r="C13" s="174">
        <v>5.069444444444444E-05</v>
      </c>
      <c r="D13" s="175">
        <f>C13*WaterConsumption!$B$15</f>
        <v>2.478954876990048E-06</v>
      </c>
      <c r="F13" s="168"/>
    </row>
    <row r="14" spans="1:6" ht="12.75">
      <c r="A14" s="408"/>
      <c r="B14" s="176" t="s">
        <v>304</v>
      </c>
      <c r="C14" s="177">
        <v>2.7083333333333334E-06</v>
      </c>
      <c r="D14" s="178">
        <f>C14*WaterConsumption!$B$15</f>
        <v>1.3243731534604365E-07</v>
      </c>
      <c r="F14" s="168"/>
    </row>
    <row r="15" spans="1:6" ht="12.75">
      <c r="A15" s="408"/>
      <c r="B15" s="176" t="s">
        <v>305</v>
      </c>
      <c r="C15" s="177">
        <v>2.7500000000000008E-06</v>
      </c>
      <c r="D15" s="178">
        <f>C15*WaterConsumption!$B$15</f>
        <v>1.344748125052136E-07</v>
      </c>
      <c r="F15" s="168"/>
    </row>
    <row r="16" spans="1:6" ht="12.75">
      <c r="A16" s="408"/>
      <c r="B16" s="176" t="s">
        <v>306</v>
      </c>
      <c r="C16" s="177">
        <v>0.0008834174491392801</v>
      </c>
      <c r="D16" s="178">
        <f>C16*WaterConsumption!$B$15</f>
        <v>4.3199053031577716E-05</v>
      </c>
      <c r="F16" s="168"/>
    </row>
    <row r="17" spans="1:6" ht="12.75">
      <c r="A17" s="408"/>
      <c r="B17" s="176" t="s">
        <v>307</v>
      </c>
      <c r="C17" s="177">
        <v>1.0937500000000005E-06</v>
      </c>
      <c r="D17" s="178">
        <f>C17*WaterConsumption!$B$15</f>
        <v>5.348430042820996E-08</v>
      </c>
      <c r="F17" s="168"/>
    </row>
    <row r="18" spans="1:6" ht="12.75">
      <c r="A18" s="408"/>
      <c r="B18" s="176" t="s">
        <v>308</v>
      </c>
      <c r="C18" s="177">
        <v>0.00024775</v>
      </c>
      <c r="D18" s="178">
        <f>C18*WaterConsumption!$B$15</f>
        <v>1.2114958108424239E-05</v>
      </c>
      <c r="F18" s="168"/>
    </row>
    <row r="19" spans="1:6" ht="13.5" thickBot="1">
      <c r="A19" s="409"/>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{0c061533-2e9b-4ec3-a4b9-48bac893d753}</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{bee8f4bc-1e10-475a-920a-bf799af5bffe}</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{115790cf-c34f-4d96-bbac-a1f9b560deff}</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0c061533-2e9b-4ec3-a4b9-48bac893d753}">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bee8f4bc-1e10-475a-920a-bf799af5bffe}">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115790cf-c34f-4d96-bbac-a1f9b560deff}">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10" t="s">
        <v>340</v>
      </c>
      <c r="B5" s="411"/>
      <c r="C5" s="202"/>
      <c r="D5" s="202"/>
      <c r="E5" s="184"/>
      <c r="F5" s="184"/>
      <c r="G5" s="184"/>
      <c r="I5" s="48" t="s">
        <v>839</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8">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70" t="s">
        <v>848</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6" t="s">
        <v>877</v>
      </c>
      <c r="B4" s="286" t="s">
        <v>100</v>
      </c>
      <c r="C4" s="286" t="s">
        <v>108</v>
      </c>
      <c r="D4" s="286" t="s">
        <v>360</v>
      </c>
      <c r="E4" s="286"/>
      <c r="F4" s="286"/>
      <c r="G4" s="286"/>
      <c r="H4" s="286" t="s">
        <v>204</v>
      </c>
    </row>
    <row r="5" spans="1:2" ht="12.75">
      <c r="A5" s="48" t="s">
        <v>361</v>
      </c>
      <c r="B5" s="170"/>
    </row>
    <row r="6" spans="2:10" ht="12.75">
      <c r="B6" s="207">
        <f>0.000014*17000^1.5</f>
        <v>31.031403448764614</v>
      </c>
      <c r="C6" s="48" t="s">
        <v>362</v>
      </c>
      <c r="J6" s="48" t="s">
        <v>840</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840</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840</v>
      </c>
    </row>
    <row r="18" spans="2:8" ht="12.75">
      <c r="B18" s="208">
        <f>B17/Conversions!D10*12*365</f>
        <v>98109.42141074655</v>
      </c>
      <c r="C18" s="48" t="s">
        <v>347</v>
      </c>
      <c r="D18" s="48" t="s">
        <v>371</v>
      </c>
      <c r="H18" s="287" t="s">
        <v>878</v>
      </c>
    </row>
    <row r="19" spans="2:8" ht="12.75">
      <c r="B19" s="170"/>
      <c r="H19" s="142"/>
    </row>
    <row r="20" spans="2:10" ht="12.75">
      <c r="B20" s="61">
        <f>(5.7*8.6^1.2)/10.4^1.3</f>
        <v>3.590291046851096</v>
      </c>
      <c r="C20" s="48" t="s">
        <v>370</v>
      </c>
      <c r="D20" s="48" t="s">
        <v>372</v>
      </c>
      <c r="H20" s="142"/>
      <c r="J20" s="48" t="s">
        <v>840</v>
      </c>
    </row>
    <row r="21" spans="2:8" ht="12.75">
      <c r="B21" s="211">
        <f>B20/Conversions!D10*12*365</f>
        <v>7132.955383179276</v>
      </c>
      <c r="C21" s="48" t="s">
        <v>347</v>
      </c>
      <c r="D21" s="48" t="s">
        <v>372</v>
      </c>
      <c r="H21" s="287" t="s">
        <v>878</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840</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7" t="s">
        <v>879</v>
      </c>
      <c r="J32" s="48" t="s">
        <v>840</v>
      </c>
    </row>
    <row r="33" spans="2:8" ht="12.75">
      <c r="B33" s="211">
        <f>AVERAGE(168,1030,2112,1975,217)</f>
        <v>1100.4</v>
      </c>
      <c r="C33" s="48" t="s">
        <v>384</v>
      </c>
      <c r="D33" s="48" t="s">
        <v>385</v>
      </c>
      <c r="H33" s="142"/>
    </row>
    <row r="34" spans="2:8" ht="12.75">
      <c r="B34">
        <f>B33/20</f>
        <v>55.02</v>
      </c>
      <c r="C34" s="48" t="s">
        <v>386</v>
      </c>
      <c r="H34" s="287" t="s">
        <v>880</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840</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7" t="s">
        <v>881</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70" t="s">
        <v>848</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1" t="s">
        <v>877</v>
      </c>
      <c r="B5" s="286" t="s">
        <v>100</v>
      </c>
      <c r="C5" s="291"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2" t="s">
        <v>183</v>
      </c>
      <c r="B11" s="293">
        <f>B10/(MineProduction!B13*Conversions!D19)</f>
        <v>6.970896346340609E-12</v>
      </c>
      <c r="C11" s="292" t="s">
        <v>293</v>
      </c>
      <c r="E11" s="268"/>
      <c r="G11" s="46"/>
    </row>
    <row r="12" spans="1:7" ht="12.75">
      <c r="A12" s="272"/>
      <c r="B12" s="290"/>
      <c r="C12" s="272"/>
      <c r="E12" s="46"/>
      <c r="G12" s="46"/>
    </row>
    <row r="13" spans="1:7" ht="12.75">
      <c r="A13" s="272" t="s">
        <v>463</v>
      </c>
      <c r="B13" s="290">
        <f>B7/Conversions!D10</f>
        <v>1.1793401629889877E-07</v>
      </c>
      <c r="C13" s="272" t="s">
        <v>464</v>
      </c>
      <c r="E13" s="46"/>
      <c r="G13" s="46"/>
    </row>
    <row r="14" spans="1:7" ht="12.75">
      <c r="A14" s="292" t="s">
        <v>463</v>
      </c>
      <c r="B14" s="293">
        <f>B13/(MineProduction!B13*Conversions!D19)</f>
        <v>1.0661370882638615E-16</v>
      </c>
      <c r="C14" s="292" t="s">
        <v>293</v>
      </c>
      <c r="E14" s="269"/>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2" t="s">
        <v>883</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2" t="s">
        <v>469</v>
      </c>
      <c r="B39" s="292">
        <f>B33*Conversions!D9/$B$37</f>
        <v>3.4764826175869123E-07</v>
      </c>
      <c r="C39" s="292" t="s">
        <v>293</v>
      </c>
    </row>
    <row r="40" spans="1:5" ht="12.75">
      <c r="A40" s="51"/>
      <c r="B40" s="237"/>
      <c r="C40" s="237"/>
      <c r="D40" s="237"/>
      <c r="E40" s="238"/>
    </row>
    <row r="41" spans="1:5" ht="12.75">
      <c r="A41" s="1" t="s">
        <v>884</v>
      </c>
      <c r="E41" s="46"/>
    </row>
    <row r="42" spans="1:3" ht="12.75">
      <c r="A42" t="s">
        <v>470</v>
      </c>
      <c r="B42" s="288">
        <v>32.066</v>
      </c>
      <c r="C42" s="289" t="s">
        <v>471</v>
      </c>
    </row>
    <row r="43" spans="1:7" ht="12.75">
      <c r="A43" t="s">
        <v>472</v>
      </c>
      <c r="B43" s="288">
        <v>15.9994</v>
      </c>
      <c r="C43" s="289"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2" t="s">
        <v>484</v>
      </c>
      <c r="B50" s="294">
        <f>B49*B46</f>
        <v>2.996856483502775E-08</v>
      </c>
      <c r="C50" s="295" t="s">
        <v>484</v>
      </c>
      <c r="G50" s="46"/>
    </row>
    <row r="51" ht="12.75">
      <c r="G51" s="46"/>
    </row>
    <row r="52" spans="1:7" ht="12.75">
      <c r="A52" s="1" t="s">
        <v>485</v>
      </c>
      <c r="E52" s="46"/>
      <c r="G52" s="46"/>
    </row>
    <row r="53" spans="1:9" ht="12.75">
      <c r="A53" s="272" t="s">
        <v>485</v>
      </c>
      <c r="B53" s="50">
        <v>0.11</v>
      </c>
      <c r="C53" t="s">
        <v>179</v>
      </c>
      <c r="D53" s="46"/>
      <c r="G53" s="46"/>
      <c r="I53" s="48" t="s">
        <v>842</v>
      </c>
    </row>
    <row r="54" spans="1:7" ht="12.75">
      <c r="A54" s="272" t="s">
        <v>485</v>
      </c>
      <c r="B54" s="292">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843</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2" t="s">
        <v>177</v>
      </c>
      <c r="B84" s="296">
        <f>(B81*C81+B82*C82+B83*C83)/(C83+C82+C81)</f>
        <v>0.15638095238095237</v>
      </c>
      <c r="C84" s="272">
        <f>SUM(C81:C83)</f>
        <v>21</v>
      </c>
      <c r="D84" s="272" t="s">
        <v>186</v>
      </c>
      <c r="G84" s="46"/>
    </row>
    <row r="85" spans="1:7" ht="12.75">
      <c r="A85" s="272"/>
      <c r="B85" s="272">
        <f>B84*1000</f>
        <v>156.38095238095238</v>
      </c>
      <c r="C85" s="272"/>
      <c r="D85" s="272" t="s">
        <v>487</v>
      </c>
      <c r="G85" s="46"/>
    </row>
    <row r="86" spans="1:7" ht="12.75">
      <c r="A86" s="272"/>
      <c r="B86" s="292">
        <f>B85/10^12</f>
        <v>1.5638095238095238E-10</v>
      </c>
      <c r="C86" s="295"/>
      <c r="D86" s="292"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885</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2" t="s">
        <v>492</v>
      </c>
      <c r="B104" s="292">
        <f>B103/B102</f>
        <v>2.4900000000000002E-05</v>
      </c>
      <c r="C104" s="292" t="s">
        <v>293</v>
      </c>
      <c r="D104" s="412" t="s">
        <v>493</v>
      </c>
      <c r="E104" s="412"/>
      <c r="F104" s="412"/>
      <c r="G104" s="283"/>
    </row>
    <row r="105" spans="4:11" ht="43.5" customHeight="1">
      <c r="D105" s="412" t="s">
        <v>882</v>
      </c>
      <c r="E105" s="412"/>
      <c r="F105" s="412"/>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70" t="s">
        <v>848</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3" t="s">
        <v>498</v>
      </c>
      <c r="B5" s="413"/>
      <c r="C5" s="413"/>
      <c r="D5" s="413"/>
      <c r="E5" s="413"/>
      <c r="F5" s="413"/>
      <c r="G5" s="413"/>
      <c r="I5" s="48" t="s">
        <v>844</v>
      </c>
    </row>
    <row r="6" ht="12.75">
      <c r="A6" t="s">
        <v>499</v>
      </c>
    </row>
    <row r="7" ht="12.75">
      <c r="B7" s="170"/>
    </row>
    <row r="8" spans="1:2" ht="12.75">
      <c r="A8" s="297" t="s">
        <v>100</v>
      </c>
      <c r="B8" s="298"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845</v>
      </c>
    </row>
    <row r="18" spans="1:20" ht="12.75" customHeight="1">
      <c r="A18" s="170">
        <f>A17/(83660/1000)</f>
        <v>1272.5914415491275</v>
      </c>
      <c r="B18" t="s">
        <v>505</v>
      </c>
      <c r="E18" s="416" t="s">
        <v>506</v>
      </c>
      <c r="F18" s="416"/>
      <c r="G18" s="416"/>
      <c r="J18" s="74" t="s">
        <v>508</v>
      </c>
      <c r="K18" s="74" t="s">
        <v>509</v>
      </c>
      <c r="L18" s="74" t="s">
        <v>510</v>
      </c>
      <c r="M18" s="74" t="s">
        <v>511</v>
      </c>
      <c r="N18" s="414" t="s">
        <v>507</v>
      </c>
      <c r="O18" s="415"/>
      <c r="P18" s="415"/>
      <c r="Q18" s="415"/>
      <c r="R18" s="415"/>
      <c r="S18" s="415"/>
      <c r="T18" s="415"/>
    </row>
    <row r="19" spans="1:20" ht="12.75">
      <c r="A19" s="299">
        <f>A18/1000/Conversions!D9</f>
        <v>0.0014027919402051752</v>
      </c>
      <c r="B19" s="292" t="s">
        <v>180</v>
      </c>
      <c r="E19" s="416"/>
      <c r="F19" s="416"/>
      <c r="G19" s="416"/>
      <c r="J19" s="74" t="s">
        <v>512</v>
      </c>
      <c r="K19" s="74" t="s">
        <v>513</v>
      </c>
      <c r="L19" s="74" t="s">
        <v>514</v>
      </c>
      <c r="M19" s="240" t="s">
        <v>515</v>
      </c>
      <c r="N19" s="414"/>
      <c r="O19" s="415"/>
      <c r="P19" s="415"/>
      <c r="Q19" s="415"/>
      <c r="R19" s="415"/>
      <c r="S19" s="415"/>
      <c r="T19" s="415"/>
    </row>
    <row r="20" spans="2:20" ht="12.75">
      <c r="B20" s="170"/>
      <c r="J20" s="74" t="s">
        <v>516</v>
      </c>
      <c r="K20" s="74" t="s">
        <v>517</v>
      </c>
      <c r="L20" s="74" t="s">
        <v>518</v>
      </c>
      <c r="M20" s="240" t="s">
        <v>519</v>
      </c>
      <c r="N20" s="414"/>
      <c r="O20" s="415"/>
      <c r="P20" s="415"/>
      <c r="Q20" s="415"/>
      <c r="R20" s="415"/>
      <c r="S20" s="415"/>
      <c r="T20" s="415"/>
    </row>
    <row r="21" spans="10:20" ht="12.75">
      <c r="J21" s="74" t="s">
        <v>520</v>
      </c>
      <c r="K21" s="74" t="s">
        <v>513</v>
      </c>
      <c r="L21" s="74" t="s">
        <v>521</v>
      </c>
      <c r="M21" s="240" t="s">
        <v>522</v>
      </c>
      <c r="N21" s="414"/>
      <c r="O21" s="415"/>
      <c r="P21" s="415"/>
      <c r="Q21" s="415"/>
      <c r="R21" s="415"/>
      <c r="S21" s="415"/>
      <c r="T21" s="415"/>
    </row>
    <row r="22" spans="10:20" ht="12.75">
      <c r="J22" s="74" t="s">
        <v>523</v>
      </c>
      <c r="K22" s="74" t="s">
        <v>513</v>
      </c>
      <c r="L22" s="74" t="s">
        <v>524</v>
      </c>
      <c r="M22" s="240" t="s">
        <v>522</v>
      </c>
      <c r="N22" s="414"/>
      <c r="O22" s="415"/>
      <c r="P22" s="415"/>
      <c r="Q22" s="415"/>
      <c r="R22" s="415"/>
      <c r="S22" s="415"/>
      <c r="T22" s="415"/>
    </row>
    <row r="23" spans="10:20" ht="12.75">
      <c r="J23" s="74" t="s">
        <v>525</v>
      </c>
      <c r="K23" s="74" t="s">
        <v>513</v>
      </c>
      <c r="L23" s="74" t="s">
        <v>526</v>
      </c>
      <c r="M23" s="240" t="s">
        <v>522</v>
      </c>
      <c r="N23" s="414"/>
      <c r="O23" s="415"/>
      <c r="P23" s="415"/>
      <c r="Q23" s="415"/>
      <c r="R23" s="415"/>
      <c r="S23" s="415"/>
      <c r="T23" s="415"/>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845</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