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948" firstSheet="1" activeTab="1"/>
  </bookViews>
  <sheets>
    <sheet name="Info" sheetId="1" r:id="rId1"/>
    <sheet name="Data Summary" sheetId="2" r:id="rId2"/>
    <sheet name="Reference Source Info" sheetId="3" r:id="rId3"/>
    <sheet name="DQI" sheetId="4" r:id="rId4"/>
    <sheet name="WaterEmissions" sheetId="5" r:id="rId5"/>
    <sheet name="MineProduction" sheetId="6" r:id="rId6"/>
    <sheet name="PM" sheetId="7" r:id="rId7"/>
    <sheet name="Air_EFs" sheetId="8" r:id="rId8"/>
    <sheet name="Elec_Use" sheetId="9" r:id="rId9"/>
    <sheet name="DieselUse_CO2" sheetId="10" r:id="rId10"/>
    <sheet name="Explosives" sheetId="11" r:id="rId11"/>
    <sheet name="MineCH4" sheetId="12" r:id="rId12"/>
    <sheet name="WaterConsumption" sheetId="13" r:id="rId13"/>
    <sheet name="Conversions" sheetId="14" r:id="rId14"/>
    <sheet name="Assumptions" sheetId="15" r:id="rId15"/>
    <sheet name="DQI sig check" sheetId="16" r:id="rId16"/>
  </sheets>
  <externalReferences>
    <externalReference r:id="rId19"/>
    <externalReference r:id="rId20"/>
    <externalReference r:id="rId21"/>
  </externalReferences>
  <definedNames>
    <definedName name="Barrel_to_Gallons">'[1]Misc Factors'!$B$88</definedName>
    <definedName name="Catalytic_Reformer_Energy_Consumption_Sensitivity_Indicator" localSheetId="15">'[1]SA Inputs'!#REF!</definedName>
    <definedName name="Catalytic_Reformer_Energy_Consumption_Sensitivity_Indicator">'[1]SA Inputs'!#REF!</definedName>
    <definedName name="Delayed_Coker_Energy_Consumption_Sensitivity_Indicator" localSheetId="15">'[1]SA Inputs'!#REF!</definedName>
    <definedName name="Delayed_Coker_Energy_Consumption_Sensitivity_Indicator">'[1]SA Inputs'!#REF!</definedName>
    <definedName name="Hydrogen_Consump_minus_Production" localSheetId="15">'[1]H2 intensities'!#REF!</definedName>
    <definedName name="Hydrogen_Consump_minus_Production">'[1]H2 intensities'!#REF!</definedName>
    <definedName name="lstCompleteness" localSheetId="3">'[2]Data Summary'!$E$141:$E$146</definedName>
    <definedName name="lstCompleteness" localSheetId="15">'[3]Data Summary'!$E$126:$E$131</definedName>
    <definedName name="lstCompleteness">'Data Summary'!$E$173:$E$178</definedName>
    <definedName name="lstOrigin" localSheetId="3">'[2]Data Summary'!$H$141:$H$146</definedName>
    <definedName name="lstOrigin" localSheetId="15">'[3]Data Summary'!$H$126:$H$131</definedName>
    <definedName name="lstOrigin">'Data Summary'!$H$173:$H$178</definedName>
    <definedName name="lstProcessScope" localSheetId="3">'[2]Data Summary'!$D$141:$D$145</definedName>
    <definedName name="lstProcessScope" localSheetId="15">'[3]Data Summary'!$D$126:$D$130</definedName>
    <definedName name="lstProcessScope">'Data Summary'!$D$173:$D$177</definedName>
    <definedName name="lstProcessType" localSheetId="3">'[2]Data Summary'!$C$141:$C$150</definedName>
    <definedName name="lstProcessType" localSheetId="15">'[3]Data Summary'!$C$126:$C$135</definedName>
    <definedName name="lstProcessType">'Data Summary'!$C$173:$C$182</definedName>
    <definedName name="lstSourceType" localSheetId="3">'[2]Reference Source Info'!$B$53:$B$61</definedName>
    <definedName name="lstSourceType" localSheetId="15">'[3]Reference Source Info'!$B$51:$B$59</definedName>
    <definedName name="lstSourceType">'Reference Source Info'!$B$51:$B$59</definedName>
    <definedName name="lstTracked" localSheetId="3">'[2]Data Summary'!$J$141:$J$143</definedName>
    <definedName name="lstTracked" localSheetId="15">'[3]Data Summary'!$J$126:$J$128</definedName>
    <definedName name="lstTracked">'Data Summary'!$J$173:$J$175</definedName>
    <definedName name="_xlnm.Print_Area" localSheetId="1">'Data Summary'!$A$1:$O$116</definedName>
    <definedName name="_xlnm.Print_Area" localSheetId="3">'DQI'!$A$1:$K$53</definedName>
    <definedName name="_xlnm.Print_Area" localSheetId="0">'Info'!$A$1:$N$69</definedName>
    <definedName name="_xlnm.Print_Area" localSheetId="2">'Reference Source Info'!$A$1:$S$26</definedName>
    <definedName name="_xlnm.Print_Titles" localSheetId="2">'Reference Source Info'!$A:$A</definedName>
    <definedName name="Ton_to_Kilogram" localSheetId="15">'[1]Misc Factors'!#REF!</definedName>
    <definedName name="Ton_to_Kilogram">'[1]Misc Factors'!#REF!</definedName>
    <definedName name="Vacuum_distillation_Energy_Consumption_Sensitivity_Indicator" localSheetId="15">'[1]SA Inputs'!#REF!</definedName>
    <definedName name="Vacuum_distillation_Energy_Consumption_Sensitivity_Indicator">'[1]SA Inputs'!#REF!</definedName>
    <definedName name="Weight_Conversion" localSheetId="15">'[1]Loss Factors'!#REF!</definedName>
    <definedName name="Weight_Conversion">'[1]Loss Factors'!#REF!</definedName>
  </definedNames>
  <calcPr fullCalcOnLoad="1"/>
</workbook>
</file>

<file path=xl/sharedStrings.xml><?xml version="1.0" encoding="utf-8"?>
<sst xmlns="http://schemas.openxmlformats.org/spreadsheetml/2006/main" count="1513" uniqueCount="916">
  <si>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</si>
  <si>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</si>
  <si>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</si>
  <si>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</si>
  <si>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</si>
  <si>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</si>
  <si>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</si>
  <si>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</si>
  <si>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</si>
  <si>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</si>
  <si>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</si>
  <si>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</si>
  <si>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</si>
  <si>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</si>
  <si>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</si>
  <si>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</si>
  <si>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</si>
  <si>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Temporal Correlation</t>
  </si>
  <si>
    <t>less than three years of difference to year of study/current year</t>
  </si>
  <si>
    <t>less than 6 years of difference</t>
  </si>
  <si>
    <t>less than 10 years difference</t>
  </si>
  <si>
    <t>less than 15 years difference</t>
  </si>
  <si>
    <t>age of data unknown or more than 15 years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</si>
  <si>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</si>
  <si>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</si>
  <si>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</si>
  <si>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</si>
  <si>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</si>
  <si>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</si>
  <si>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</si>
  <si>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</si>
  <si>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</si>
  <si>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</si>
  <si>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</si>
  <si>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1) Calculated Score for each UP input. If more than one reference source is used for one input, and the score is lower, consider both scores. If an indicator does not relate to a specific source assume N/A. If all emissions come from one source, only one score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</si>
  <si>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</si>
  <si>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</si>
  <si>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</si>
  <si>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</si>
  <si>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4) If the change in the final result from a single unit process is greater than a threshold value, for example 0.1 g CO2e/MJ, then the processes should be flagged for possible additional data quality refinement</t>
  </si>
  <si>
    <t>* For NETL LCI&amp;C studies, because data quality for construction is typically low, sensitivity on those inputs is already performed and the DQI does not need to be calculated. If, sensitivity is not performed on construction, or sensitivity shows a particular input is significant, than the DQI will be performed</t>
  </si>
  <si>
    <t xml:space="preserve"> - for example, if emissions from the total steel inputs are found to be significant during sensitivity, the DQI will be performed on the steel profile (if possible). If not possible (because data is not-transparent/purchased), this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</si>
  <si>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</si>
  <si>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</si>
  <si>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Input/Output</t>
  </si>
  <si>
    <t>Source Reliability</t>
  </si>
  <si>
    <t>Technical Correlation</t>
  </si>
  <si>
    <t>DQI</t>
  </si>
  <si>
    <t>Recommendations</t>
  </si>
  <si>
    <t>Determinations</t>
  </si>
  <si>
    <t>Diesel Fuel</t>
  </si>
  <si>
    <t>2,2,2,1,1</t>
  </si>
  <si>
    <t>2,2,1,1,1</t>
  </si>
  <si>
    <t>CO2, CH4, N2O</t>
  </si>
  <si>
    <t>VOC, NOX, PM, CO</t>
  </si>
  <si>
    <t>1,1,1,1,1</t>
  </si>
  <si>
    <t>Water Emissions</t>
  </si>
  <si>
    <t>2,2,3,3,2</t>
  </si>
  <si>
    <t>2,3,5,2,2</t>
  </si>
  <si>
    <t>2,2,2,1,2</t>
  </si>
  <si>
    <t>Best available data, check for significance</t>
  </si>
  <si>
    <t>2,3,5,3,2</t>
  </si>
  <si>
    <t>2,2,3,2,2</t>
  </si>
  <si>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</si>
  <si>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</si>
  <si>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</si>
  <si>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</si>
  <si>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</si>
  <si>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</si>
  <si>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</si>
  <si>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</si>
  <si>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</si>
  <si>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</si>
  <si>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</si>
  <si>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</si>
  <si>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</si>
  <si>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</si>
  <si>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</si>
  <si>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</si>
  <si>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</si>
  <si>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</si>
  <si>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</si>
  <si>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</si>
  <si>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</si>
  <si>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</si>
  <si>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</si>
  <si>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</si>
  <si>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</si>
  <si>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</si>
  <si>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</si>
  <si>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</si>
  <si>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</si>
  <si>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</si>
  <si>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</si>
  <si>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</si>
  <si>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</si>
  <si>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</si>
  <si>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</si>
  <si>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</si>
  <si>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</si>
  <si>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</si>
  <si>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</si>
  <si>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</si>
  <si>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</si>
  <si>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</si>
  <si>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</si>
  <si>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</si>
  <si>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</si>
  <si>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</si>
  <si>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</si>
  <si>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</si>
  <si>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</si>
  <si>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</si>
  <si>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</si>
  <si>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</si>
  <si>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</si>
  <si>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</si>
  <si>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</si>
  <si>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</si>
  <si>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</si>
  <si>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</si>
  <si>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</si>
  <si>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</si>
  <si>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</si>
  <si>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</si>
  <si>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</si>
  <si>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</si>
  <si>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</si>
  <si>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</si>
  <si>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</si>
  <si>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</si>
  <si>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</si>
  <si>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</si>
  <si>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</si>
  <si>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</si>
  <si>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</si>
  <si>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</si>
  <si>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</si>
  <si>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</si>
  <si>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</si>
  <si>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</si>
  <si>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</si>
  <si>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</si>
  <si>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</si>
  <si>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</si>
  <si>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</si>
  <si>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</si>
  <si>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</si>
  <si>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</si>
  <si>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</si>
  <si>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</si>
  <si>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</si>
  <si>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</si>
  <si>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</si>
  <si>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</si>
  <si>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</si>
  <si>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</si>
  <si>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</si>
  <si>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</si>
  <si>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</si>
  <si>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</si>
  <si>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</si>
  <si>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</si>
  <si>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2005</t>
  </si>
  <si>
    <t>2004</t>
  </si>
  <si>
    <t>US</t>
  </si>
  <si>
    <t>No</t>
  </si>
  <si>
    <t>Electricity</t>
  </si>
  <si>
    <t>kWh</t>
  </si>
  <si>
    <t>kg</t>
  </si>
  <si>
    <t>tons</t>
  </si>
  <si>
    <t>Water Use</t>
  </si>
  <si>
    <t>L</t>
  </si>
  <si>
    <t>average</t>
  </si>
  <si>
    <t>Average</t>
  </si>
  <si>
    <t>Avg Hg concentration in diesel fuel (ng/g)</t>
  </si>
  <si>
    <t>no. samples</t>
  </si>
  <si>
    <t>average*</t>
  </si>
  <si>
    <t>*average weighted by number of samples</t>
  </si>
  <si>
    <t>kg ammonia/1000 L diesel</t>
  </si>
  <si>
    <t>kWh/kg coal</t>
  </si>
  <si>
    <t>PM Emissions</t>
  </si>
  <si>
    <t>PM</t>
  </si>
  <si>
    <t>CO</t>
  </si>
  <si>
    <t>Ammonia</t>
  </si>
  <si>
    <t>Mercury</t>
  </si>
  <si>
    <t>ng Hg/g diesel</t>
  </si>
  <si>
    <t>Estimate of mercury emission from gasoline and diesel fuel consumption, San Francisco Bay area, California.</t>
  </si>
  <si>
    <t>1994</t>
  </si>
  <si>
    <t>Elsevier/Science Direct</t>
  </si>
  <si>
    <t>Washington, DC</t>
  </si>
  <si>
    <t>101-105</t>
  </si>
  <si>
    <t>Atmospheric Environment</t>
  </si>
  <si>
    <t>39</t>
  </si>
  <si>
    <t xml:space="preserve">US </t>
  </si>
  <si>
    <t>Internet</t>
  </si>
  <si>
    <t>2008</t>
  </si>
  <si>
    <t>1998</t>
  </si>
  <si>
    <t>Australia</t>
  </si>
  <si>
    <t>2009</t>
  </si>
  <si>
    <t>2007</t>
  </si>
  <si>
    <t>Reference Flow</t>
  </si>
  <si>
    <t>Calculations</t>
  </si>
  <si>
    <t>Reference [11]</t>
  </si>
  <si>
    <t>Assumptions</t>
  </si>
  <si>
    <t>Assumption #</t>
  </si>
  <si>
    <t>Description</t>
  </si>
  <si>
    <t>kg diesel</t>
  </si>
  <si>
    <t>L diesel</t>
  </si>
  <si>
    <t>Conversion Factors</t>
  </si>
  <si>
    <t>DS Sheet Information</t>
  </si>
  <si>
    <t>This data sheet is organized as follows:</t>
  </si>
  <si>
    <t>Worksheet</t>
  </si>
  <si>
    <t>Data Summary</t>
  </si>
  <si>
    <t>Reference Source Info</t>
  </si>
  <si>
    <t>Conversions</t>
  </si>
  <si>
    <t>Data Quality Index</t>
  </si>
  <si>
    <t>Calculations: Particulate Emissions</t>
  </si>
  <si>
    <t>Unit Conversions</t>
  </si>
  <si>
    <t>Summary</t>
  </si>
  <si>
    <t>Diesel [Crude oil products]</t>
  </si>
  <si>
    <t>Power [Electric power]</t>
  </si>
  <si>
    <t>Water (ground water) [Water]</t>
  </si>
  <si>
    <t>Carbon dioxide [Inorganic emissions to air]</t>
  </si>
  <si>
    <t>Methane [Organic emissions to air (group VOC)]</t>
  </si>
  <si>
    <t>Particulate Matter, unspecified [Other emissions to air]</t>
  </si>
  <si>
    <t>Carbon monoxide [Inorganic emissions to air]</t>
  </si>
  <si>
    <t>Iron [Heavy metals to fresh water]</t>
  </si>
  <si>
    <t>Emission output to atmosphere</t>
  </si>
  <si>
    <t>Emission output to freshwater</t>
  </si>
  <si>
    <t>Mercury - Heavy Metals to Air</t>
  </si>
  <si>
    <t>Ammonia - Emissions to Air</t>
  </si>
  <si>
    <t>Not significant, can remove (see worksheet 'DQI sig check')</t>
  </si>
  <si>
    <t>(see DQI sheet for explanation)</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</si>
  <si>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</si>
  <si>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</si>
  <si>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</si>
  <si>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How to Cite This Document:</t>
  </si>
  <si>
    <t>Additional Notes:</t>
  </si>
  <si>
    <t>For the calculations sheets, values</t>
  </si>
  <si>
    <t xml:space="preserve">highlighted in yellow </t>
  </si>
  <si>
    <t>are also pulled forward into the 'Data Summary' sheet</t>
  </si>
  <si>
    <t>DQI Determination</t>
  </si>
  <si>
    <t>OK</t>
  </si>
  <si>
    <t>DQI Methodology</t>
  </si>
  <si>
    <t>DQI Matrix (from NETL LCI&amp;C Guideline Document, adapted from Weidema and Wenaes)</t>
  </si>
  <si>
    <r>
      <t>Source Reliability</t>
    </r>
    <r>
      <rPr>
        <b/>
        <i/>
        <sz val="10"/>
        <rFont val="Arial"/>
        <family val="2"/>
      </rPr>
      <t xml:space="preserve"> (for most applications, source quality guidelines only factor)</t>
    </r>
  </si>
  <si>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</si>
  <si>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</si>
  <si>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</si>
  <si>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two or three, depending on the number of assumptions.  If no source data are available, a qualified estimate from an expert in the field should receive a score of four, and an estimate from a non-expert should receive a score of five. Mostly applicable to primary data.</t>
    </r>
  </si>
  <si>
    <r>
      <t xml:space="preserve">Source Quality Guidelines -- </t>
    </r>
    <r>
      <rPr>
        <sz val="10"/>
        <rFont val="Arial"/>
        <family val="2"/>
      </rPr>
      <t>The highest quality source should meet the following criteria.</t>
    </r>
  </si>
  <si>
    <t>o   Be from a peer reviewed journal or a government sponsored study.  If the source is an LCA, it must meet ISO requirements.</t>
  </si>
  <si>
    <t>o   The source is publicly available either for free or at cost, or directly representative of the process of interest.</t>
  </si>
  <si>
    <t>o   The source is written/published by an unbiased party.</t>
  </si>
  <si>
    <t>o   The source is an unbiased survey of experts or process locations.</t>
  </si>
  <si>
    <r>
      <t xml:space="preserve">Data Cross 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</si>
  <si>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</si>
  <si>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</si>
  <si>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</si>
  <si>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</si>
  <si>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</si>
  <si>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Requirements met</t>
  </si>
  <si>
    <t>OK; Note: Ammonia reference quality removed per 'DQI sig check' worksheet</t>
  </si>
  <si>
    <t>Reference (see 'Reference Source Info' worksheet)</t>
  </si>
  <si>
    <t xml:space="preserve">[2] </t>
  </si>
  <si>
    <t xml:space="preserve">[10] </t>
  </si>
  <si>
    <t xml:space="preserve">[1] </t>
  </si>
  <si>
    <t xml:space="preserve">[5] </t>
  </si>
  <si>
    <t>[12]</t>
  </si>
  <si>
    <t>[6]</t>
  </si>
  <si>
    <t>[7]</t>
  </si>
  <si>
    <t>[4]</t>
  </si>
  <si>
    <t>1,2,3,2,2</t>
  </si>
  <si>
    <t>short ton</t>
  </si>
  <si>
    <t>Calculations sheets: some cells contain hard-keyed conversion factors</t>
  </si>
  <si>
    <t>gallon</t>
  </si>
  <si>
    <t>g</t>
  </si>
  <si>
    <t>Referenced citations; citations are referenced by number, listed at the top of the Reference Source Info sheet</t>
  </si>
  <si>
    <t xml:space="preserve">Process Name: </t>
  </si>
  <si>
    <t xml:space="preserve">Process Description: </t>
  </si>
  <si>
    <t xml:space="preserve">Files: </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</si>
  <si>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</si>
  <si>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</si>
  <si>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Summary and Calculations Worksheets:</t>
  </si>
  <si>
    <t xml:space="preserve"> </t>
  </si>
  <si>
    <t>Disclaimer:</t>
  </si>
  <si>
    <t>Auxiliary Process (AP)</t>
  </si>
  <si>
    <t xml:space="preserve"> - check significance first. If the input is not significant by a long shot (or with the maximum possible value, then it is not necessary to include in the UP</t>
  </si>
  <si>
    <t>Summary of Calculations, Input and Output Flows, Reference Flow, and other information</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</si>
  <si>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</si>
  <si>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Powder River Basin</t>
  </si>
  <si>
    <t>kg/L water</t>
  </si>
  <si>
    <t>kg/kg coal</t>
  </si>
  <si>
    <t>Nonmetals</t>
  </si>
  <si>
    <t>Ammonia (NH3)</t>
  </si>
  <si>
    <t>Nitrogen (N)</t>
  </si>
  <si>
    <t>Phosphorous (P)</t>
  </si>
  <si>
    <t>Selenium, total recoverable</t>
  </si>
  <si>
    <t>Sulfate (as SO4)</t>
  </si>
  <si>
    <t>Total Dissolved Solids</t>
  </si>
  <si>
    <t>Total Suspended Solids</t>
  </si>
  <si>
    <t>Heavy Metals</t>
  </si>
  <si>
    <t>Aluminum, total</t>
  </si>
  <si>
    <t>Arsenic, total</t>
  </si>
  <si>
    <t>Copper, total recoverable</t>
  </si>
  <si>
    <t>Iron, total</t>
  </si>
  <si>
    <t xml:space="preserve">Lead, total recov. </t>
  </si>
  <si>
    <t>Manganese, total</t>
  </si>
  <si>
    <t>Nickel, total</t>
  </si>
  <si>
    <t>Coal Mine Capacity</t>
  </si>
  <si>
    <t>Wastewater Flow</t>
  </si>
  <si>
    <t>Flow Type</t>
  </si>
  <si>
    <t>NPDES No.</t>
  </si>
  <si>
    <t>DB</t>
  </si>
  <si>
    <t>Facility Name</t>
  </si>
  <si>
    <t>Address</t>
  </si>
  <si>
    <t>City</t>
  </si>
  <si>
    <t>State</t>
  </si>
  <si>
    <t>kg per year</t>
  </si>
  <si>
    <t>MGD</t>
  </si>
  <si>
    <t>gallons/yr</t>
  </si>
  <si>
    <t>L/kg coal</t>
  </si>
  <si>
    <t>mg/L</t>
  </si>
  <si>
    <t>lb/d</t>
  </si>
  <si>
    <t>c</t>
  </si>
  <si>
    <t>ICIS-NPDES</t>
  </si>
  <si>
    <t>BIG SKY COAL COMPANY - BIG SKY MINE</t>
  </si>
  <si>
    <t>STATE HIGHWAY 39 SOUTH</t>
  </si>
  <si>
    <t>COLSTRIP</t>
  </si>
  <si>
    <t>MT</t>
  </si>
  <si>
    <t>MT0024210</t>
  </si>
  <si>
    <t>DECKER COAL CO (EAST MINE)</t>
  </si>
  <si>
    <t>12 LAKESHORE DRIVE</t>
  </si>
  <si>
    <t>DECKER</t>
  </si>
  <si>
    <t>MT0000892</t>
  </si>
  <si>
    <t>DECKER COAL CO (WEST MINE)</t>
  </si>
  <si>
    <t>T9S R40E S16</t>
  </si>
  <si>
    <t>Coal Mine Production</t>
  </si>
  <si>
    <t>http://www.nma.org/pdf/members/coal_producer_survey2008.pdf</t>
  </si>
  <si>
    <t>Average Mine Production</t>
  </si>
  <si>
    <t>Mine</t>
  </si>
  <si>
    <t>Production (short tons/year)</t>
  </si>
  <si>
    <t>North Antelope-Rochelle</t>
  </si>
  <si>
    <t>Black Thunder</t>
  </si>
  <si>
    <t>Jacobs Ranch</t>
  </si>
  <si>
    <t>Cordero Rojo</t>
  </si>
  <si>
    <t>kg/yr</t>
  </si>
  <si>
    <t>scf Methane</t>
  </si>
  <si>
    <t>lbs</t>
  </si>
  <si>
    <t>m3</t>
  </si>
  <si>
    <t>barrel petroleum</t>
  </si>
  <si>
    <t xml:space="preserve">short ton </t>
  </si>
  <si>
    <t>lb I#6 coal HHV (dry)</t>
  </si>
  <si>
    <t>btu</t>
  </si>
  <si>
    <t>MMBtu</t>
  </si>
  <si>
    <t>cubic foot PRB coal</t>
  </si>
  <si>
    <t>cubic yard</t>
  </si>
  <si>
    <t>cubic feet</t>
  </si>
  <si>
    <t>cubic yard PRB coal</t>
  </si>
  <si>
    <t>Notes</t>
  </si>
  <si>
    <t>Blasting</t>
  </si>
  <si>
    <t>lb/blast</t>
  </si>
  <si>
    <t>blasts per week, average</t>
  </si>
  <si>
    <t>blasts per year</t>
  </si>
  <si>
    <t>lb/yr</t>
  </si>
  <si>
    <t>Truck Loading</t>
  </si>
  <si>
    <t>lb/ton coal</t>
  </si>
  <si>
    <t>kg/ton coal</t>
  </si>
  <si>
    <t>Bulldozing</t>
  </si>
  <si>
    <t>lb/hr</t>
  </si>
  <si>
    <t>for coal</t>
  </si>
  <si>
    <t>for overburden</t>
  </si>
  <si>
    <t>TOTAL</t>
  </si>
  <si>
    <t>coal + overburden</t>
  </si>
  <si>
    <t>kg/kg</t>
  </si>
  <si>
    <t>Dragline</t>
  </si>
  <si>
    <t>lb/yd3</t>
  </si>
  <si>
    <t>coal</t>
  </si>
  <si>
    <t>kg/yd3</t>
  </si>
  <si>
    <t>kg PM/kg coal</t>
  </si>
  <si>
    <t>Grading</t>
  </si>
  <si>
    <t>lb/VMT</t>
  </si>
  <si>
    <t>VMT = vehicle miles traveled</t>
  </si>
  <si>
    <t>acres</t>
  </si>
  <si>
    <t>Total disturbed area</t>
  </si>
  <si>
    <t>acres/yr</t>
  </si>
  <si>
    <t>square ft/yr</t>
  </si>
  <si>
    <t>ft</t>
  </si>
  <si>
    <t>overburden thickness</t>
  </si>
  <si>
    <t>ft3/yr</t>
  </si>
  <si>
    <t>grader cut depth</t>
  </si>
  <si>
    <t>Reference [4]; "scraper Bowl" table, 4th entry</t>
  </si>
  <si>
    <t>grader cut width</t>
  </si>
  <si>
    <t>Reference [4]; "scraper Bowl" table, 5th entry</t>
  </si>
  <si>
    <t>cubic ft</t>
  </si>
  <si>
    <t>grader cut vol per mile</t>
  </si>
  <si>
    <t>miles</t>
  </si>
  <si>
    <t>miles traveled by grader per year</t>
  </si>
  <si>
    <t>miles/kg coal</t>
  </si>
  <si>
    <t>miles traveled by grader per kg coal</t>
  </si>
  <si>
    <t>Storage</t>
  </si>
  <si>
    <t>lb/acre-hr</t>
  </si>
  <si>
    <t>lb/kg coal</t>
  </si>
  <si>
    <t>Grand Total</t>
  </si>
  <si>
    <t>This is likely a substantial overestimate, as mitigation measures would be applied</t>
  </si>
  <si>
    <t>0.04246 lbs/scf at 1 atmosphere and 20°C</t>
  </si>
  <si>
    <t>acre</t>
  </si>
  <si>
    <t>square feet</t>
  </si>
  <si>
    <t>lower heating value, PRB Coal</t>
  </si>
  <si>
    <t>btu/lb</t>
  </si>
  <si>
    <t>lb PRB Coal LHV</t>
  </si>
  <si>
    <t>mmbtu</t>
  </si>
  <si>
    <t>kg PRB coal LHV</t>
  </si>
  <si>
    <t>lb diesel LHV</t>
  </si>
  <si>
    <t>kg diesel LHV</t>
  </si>
  <si>
    <t>diesel density</t>
  </si>
  <si>
    <t>lb/gal</t>
  </si>
  <si>
    <t>kg/gal</t>
  </si>
  <si>
    <t>kg/L</t>
  </si>
  <si>
    <t>L water</t>
  </si>
  <si>
    <t>kg water</t>
  </si>
  <si>
    <t>gal diesel</t>
  </si>
  <si>
    <t>Petroleum Baseline Report, p.90</t>
  </si>
  <si>
    <t>mile</t>
  </si>
  <si>
    <t>tonne</t>
  </si>
  <si>
    <t>US gallon</t>
  </si>
  <si>
    <t>Liters</t>
  </si>
  <si>
    <t>pound</t>
  </si>
  <si>
    <t>hectare</t>
  </si>
  <si>
    <t>inch</t>
  </si>
  <si>
    <t>mm</t>
  </si>
  <si>
    <t>megagram</t>
  </si>
  <si>
    <t>square meters</t>
  </si>
  <si>
    <t xml:space="preserve">m </t>
  </si>
  <si>
    <t>cubic meter</t>
  </si>
  <si>
    <t>mg</t>
  </si>
  <si>
    <t>ug</t>
  </si>
  <si>
    <t>L of water</t>
  </si>
  <si>
    <t>kg of water</t>
  </si>
  <si>
    <r>
      <t xml:space="preserve">Table 3‑1: Properties of PRB Coal (NETL, </t>
    </r>
    <r>
      <rPr>
        <b/>
        <i/>
        <sz val="10"/>
        <rFont val="Arial"/>
        <family val="2"/>
      </rPr>
      <t>in press</t>
    </r>
    <r>
      <rPr>
        <b/>
        <sz val="10"/>
        <rFont val="Arial"/>
        <family val="2"/>
      </rPr>
      <t>)</t>
    </r>
  </si>
  <si>
    <t>Proximate Analysis</t>
  </si>
  <si>
    <t>Dry Basis, %</t>
  </si>
  <si>
    <t>As Received, %</t>
  </si>
  <si>
    <t>Moisture</t>
  </si>
  <si>
    <t>Ash</t>
  </si>
  <si>
    <t>Volatile Matter</t>
  </si>
  <si>
    <t>Fixed Carbon</t>
  </si>
  <si>
    <t>Ultimate Analysis</t>
  </si>
  <si>
    <t>Carbon</t>
  </si>
  <si>
    <t>Hydrogen</t>
  </si>
  <si>
    <t>Nitrogen</t>
  </si>
  <si>
    <t>Sulfur</t>
  </si>
  <si>
    <t>Chlorine</t>
  </si>
  <si>
    <t>Oxygen (Note A)</t>
  </si>
  <si>
    <t>Heating Value</t>
  </si>
  <si>
    <t>Dry Basis,</t>
  </si>
  <si>
    <t>(Dulong Calc.)</t>
  </si>
  <si>
    <t>HHV, kJ/kg</t>
  </si>
  <si>
    <t>HHV, Btu/lb</t>
  </si>
  <si>
    <t>LHV, kJ/kg</t>
  </si>
  <si>
    <t>LHV, Btu/lb</t>
  </si>
  <si>
    <t>lb/mmbtu</t>
  </si>
  <si>
    <t>Pb</t>
  </si>
  <si>
    <t>kg/mmbtu</t>
  </si>
  <si>
    <t>Total Production, 1998</t>
  </si>
  <si>
    <t>tons/yr</t>
  </si>
  <si>
    <t>million tons</t>
  </si>
  <si>
    <t>Reference [7]</t>
  </si>
  <si>
    <t>VOCs</t>
  </si>
  <si>
    <t>Molecular Weight of Sulfur</t>
  </si>
  <si>
    <t>amu</t>
  </si>
  <si>
    <t>Molecular Weight of Oxygen</t>
  </si>
  <si>
    <t>MW of SO2</t>
  </si>
  <si>
    <t>g per mol of SO2</t>
  </si>
  <si>
    <t>g/mol</t>
  </si>
  <si>
    <t>kg/mol of SO2</t>
  </si>
  <si>
    <t>kg/mol</t>
  </si>
  <si>
    <t>sulfur content ULSD</t>
  </si>
  <si>
    <t>kgS/kg diesel</t>
  </si>
  <si>
    <t>mol S per kg diesel</t>
  </si>
  <si>
    <t>mol S/kg diesel</t>
  </si>
  <si>
    <t>mol SO2 per kg diesel</t>
  </si>
  <si>
    <t>mol SO2/kg diesel</t>
  </si>
  <si>
    <t>kg SO2/kg diesel</t>
  </si>
  <si>
    <t>NH3 (ammonia)</t>
  </si>
  <si>
    <t>kg ammonia/kg diesel</t>
  </si>
  <si>
    <t>ng/kg diesel</t>
  </si>
  <si>
    <t>kg/kg diesel</t>
  </si>
  <si>
    <t>Nox emissions per year</t>
  </si>
  <si>
    <t>tons per year</t>
  </si>
  <si>
    <t>mine production</t>
  </si>
  <si>
    <t>Nox emissions</t>
  </si>
  <si>
    <t>INCLUDES BLASTING</t>
  </si>
  <si>
    <t>Reference [5], Exhibit 1</t>
  </si>
  <si>
    <t>Reference [6]</t>
  </si>
  <si>
    <t>Air Emission Factors</t>
  </si>
  <si>
    <t>Reference 11</t>
  </si>
  <si>
    <t>Peabody Energy's North Antelope Rochelle Mine (NARM) - the world's largest and most productive coal mine</t>
  </si>
  <si>
    <t>Energy [kWh] = 7,100,000 + 910 x production [1000 tons] + 650 x heating [HDD]</t>
  </si>
  <si>
    <t>1000 tons</t>
  </si>
  <si>
    <t>Heating degree days (1961-1990)</t>
  </si>
  <si>
    <t>days (1961-1990)</t>
  </si>
  <si>
    <t>kWh/1000 tons</t>
  </si>
  <si>
    <t>calculated using equation</t>
  </si>
  <si>
    <t>kWh/1000 ton of coal</t>
  </si>
  <si>
    <t>calculated using annual electricity requirement and coal sold</t>
  </si>
  <si>
    <t>From June 1, 2004 to May 31, 2005 NAR produced 83,660 ktons of coal. During that period of time, overburden activities used 81.2 GWh of electric energy. That translates to about 971 kWh or $ 30.10 per 1000 tons of coal. The draglines consume about 50% of the overburden energy. Cumulative net energy is used for the analysis in order to account for momentary regeneration by the draglines.</t>
  </si>
  <si>
    <r>
      <t xml:space="preserve"> </t>
    </r>
    <r>
      <rPr>
        <b/>
        <sz val="9"/>
        <color indexed="8"/>
        <rFont val="Arial"/>
        <family val="2"/>
      </rPr>
      <t xml:space="preserve">Unit# </t>
    </r>
    <r>
      <rPr>
        <sz val="10"/>
        <rFont val="Arial"/>
        <family val="2"/>
      </rPr>
      <t xml:space="preserve"> </t>
    </r>
  </si>
  <si>
    <r>
      <t xml:space="preserve"> </t>
    </r>
    <r>
      <rPr>
        <b/>
        <sz val="9"/>
        <color indexed="8"/>
        <rFont val="Arial"/>
        <family val="2"/>
      </rPr>
      <t xml:space="preserve">Equipment Description </t>
    </r>
    <r>
      <rPr>
        <sz val="10"/>
        <rFont val="Arial"/>
        <family val="2"/>
      </rPr>
      <t xml:space="preserve"> </t>
    </r>
  </si>
  <si>
    <r>
      <t xml:space="preserve"> </t>
    </r>
    <r>
      <rPr>
        <b/>
        <sz val="9"/>
        <color indexed="8"/>
        <rFont val="Arial"/>
        <family val="2"/>
      </rPr>
      <t xml:space="preserve">Period Energy* </t>
    </r>
    <r>
      <rPr>
        <sz val="10"/>
        <rFont val="Arial"/>
        <family val="2"/>
      </rPr>
      <t xml:space="preserve"> (MWh)</t>
    </r>
  </si>
  <si>
    <r>
      <t xml:space="preserve"> </t>
    </r>
    <r>
      <rPr>
        <b/>
        <sz val="9"/>
        <color indexed="8"/>
        <rFont val="Arial"/>
        <family val="2"/>
      </rPr>
      <t xml:space="preserve">Percent </t>
    </r>
    <r>
      <rPr>
        <sz val="10"/>
        <rFont val="Arial"/>
        <family val="2"/>
      </rPr>
      <t xml:space="preserve"> </t>
    </r>
  </si>
  <si>
    <r>
      <t xml:space="preserve"> </t>
    </r>
    <r>
      <rPr>
        <sz val="9"/>
        <color indexed="8"/>
        <rFont val="Arial"/>
        <family val="2"/>
      </rPr>
      <t xml:space="preserve">103 </t>
    </r>
    <r>
      <rPr>
        <sz val="10"/>
        <rFont val="Arial"/>
        <family val="2"/>
      </rPr>
      <t xml:space="preserve"> </t>
    </r>
  </si>
  <si>
    <r>
      <t xml:space="preserve"> </t>
    </r>
    <r>
      <rPr>
        <sz val="9"/>
        <color indexed="8"/>
        <rFont val="Arial"/>
        <family val="2"/>
      </rPr>
      <t xml:space="preserve">P/H 4100A Shovel </t>
    </r>
    <r>
      <rPr>
        <sz val="10"/>
        <rFont val="Arial"/>
        <family val="2"/>
      </rPr>
      <t xml:space="preserve"> </t>
    </r>
  </si>
  <si>
    <r>
      <t xml:space="preserve"> </t>
    </r>
    <r>
      <rPr>
        <sz val="9"/>
        <color indexed="8"/>
        <rFont val="Arial"/>
        <family val="2"/>
      </rPr>
      <t xml:space="preserve">4,589 MWh </t>
    </r>
    <r>
      <rPr>
        <sz val="10"/>
        <rFont val="Arial"/>
        <family val="2"/>
      </rPr>
      <t xml:space="preserve"> </t>
    </r>
  </si>
  <si>
    <r>
      <t xml:space="preserve"> </t>
    </r>
    <r>
      <rPr>
        <sz val="9"/>
        <color indexed="8"/>
        <rFont val="Arial"/>
        <family val="2"/>
      </rPr>
      <t xml:space="preserve">6 % </t>
    </r>
    <r>
      <rPr>
        <sz val="10"/>
        <rFont val="Arial"/>
        <family val="2"/>
      </rPr>
      <t xml:space="preserve"> </t>
    </r>
  </si>
  <si>
    <r>
      <t xml:space="preserve"> </t>
    </r>
    <r>
      <rPr>
        <sz val="9"/>
        <color indexed="8"/>
        <rFont val="Arial"/>
        <family val="2"/>
      </rPr>
      <t xml:space="preserve">105 </t>
    </r>
    <r>
      <rPr>
        <sz val="10"/>
        <rFont val="Arial"/>
        <family val="2"/>
      </rPr>
      <t xml:space="preserve"> </t>
    </r>
  </si>
  <si>
    <r>
      <t xml:space="preserve"> </t>
    </r>
    <r>
      <rPr>
        <sz val="9"/>
        <color indexed="8"/>
        <rFont val="Arial"/>
        <family val="2"/>
      </rPr>
      <t xml:space="preserve">P/H 4100 Shovel </t>
    </r>
    <r>
      <rPr>
        <sz val="10"/>
        <rFont val="Arial"/>
        <family val="2"/>
      </rPr>
      <t xml:space="preserve"> </t>
    </r>
  </si>
  <si>
    <r>
      <t xml:space="preserve"> </t>
    </r>
    <r>
      <rPr>
        <sz val="9"/>
        <color indexed="8"/>
        <rFont val="Arial"/>
        <family val="2"/>
      </rPr>
      <t xml:space="preserve">5,258 </t>
    </r>
    <r>
      <rPr>
        <sz val="10"/>
        <rFont val="Arial"/>
        <family val="2"/>
      </rPr>
      <t xml:space="preserve"> </t>
    </r>
  </si>
  <si>
    <r>
      <t xml:space="preserve"> </t>
    </r>
    <r>
      <rPr>
        <sz val="9"/>
        <color indexed="8"/>
        <rFont val="Arial"/>
        <family val="2"/>
      </rPr>
      <t xml:space="preserve">6 </t>
    </r>
    <r>
      <rPr>
        <sz val="10"/>
        <rFont val="Arial"/>
        <family val="2"/>
      </rPr>
      <t xml:space="preserve"> </t>
    </r>
  </si>
  <si>
    <r>
      <t xml:space="preserve"> </t>
    </r>
    <r>
      <rPr>
        <sz val="9"/>
        <color indexed="8"/>
        <rFont val="Arial"/>
        <family val="2"/>
      </rPr>
      <t xml:space="preserve">106 </t>
    </r>
    <r>
      <rPr>
        <sz val="10"/>
        <rFont val="Arial"/>
        <family val="2"/>
      </rPr>
      <t xml:space="preserve"> </t>
    </r>
  </si>
  <si>
    <r>
      <t xml:space="preserve"> </t>
    </r>
    <r>
      <rPr>
        <sz val="9"/>
        <color indexed="8"/>
        <rFont val="Arial"/>
        <family val="2"/>
      </rPr>
      <t xml:space="preserve">5,932 </t>
    </r>
    <r>
      <rPr>
        <sz val="10"/>
        <rFont val="Arial"/>
        <family val="2"/>
      </rPr>
      <t xml:space="preserve"> </t>
    </r>
  </si>
  <si>
    <r>
      <t xml:space="preserve"> </t>
    </r>
    <r>
      <rPr>
        <sz val="9"/>
        <color indexed="8"/>
        <rFont val="Arial"/>
        <family val="2"/>
      </rPr>
      <t xml:space="preserve">7 </t>
    </r>
    <r>
      <rPr>
        <sz val="10"/>
        <rFont val="Arial"/>
        <family val="2"/>
      </rPr>
      <t xml:space="preserve"> </t>
    </r>
  </si>
  <si>
    <r>
      <t xml:space="preserve"> </t>
    </r>
    <r>
      <rPr>
        <sz val="9"/>
        <color indexed="8"/>
        <rFont val="Arial"/>
        <family val="2"/>
      </rPr>
      <t xml:space="preserve">107 </t>
    </r>
    <r>
      <rPr>
        <sz val="10"/>
        <rFont val="Arial"/>
        <family val="2"/>
      </rPr>
      <t xml:space="preserve"> </t>
    </r>
  </si>
  <si>
    <r>
      <t xml:space="preserve"> </t>
    </r>
    <r>
      <rPr>
        <sz val="9"/>
        <color indexed="8"/>
        <rFont val="Arial"/>
        <family val="2"/>
      </rPr>
      <t xml:space="preserve">5,913 </t>
    </r>
    <r>
      <rPr>
        <sz val="10"/>
        <rFont val="Arial"/>
        <family val="2"/>
      </rPr>
      <t xml:space="preserve"> </t>
    </r>
  </si>
  <si>
    <r>
      <t xml:space="preserve"> </t>
    </r>
    <r>
      <rPr>
        <sz val="9"/>
        <color indexed="8"/>
        <rFont val="Arial"/>
        <family val="2"/>
      </rPr>
      <t xml:space="preserve">108 </t>
    </r>
    <r>
      <rPr>
        <sz val="10"/>
        <rFont val="Arial"/>
        <family val="2"/>
      </rPr>
      <t xml:space="preserve"> </t>
    </r>
  </si>
  <si>
    <r>
      <t xml:space="preserve"> </t>
    </r>
    <r>
      <rPr>
        <sz val="9"/>
        <color indexed="8"/>
        <rFont val="Arial"/>
        <family val="2"/>
      </rPr>
      <t xml:space="preserve">5,894 </t>
    </r>
    <r>
      <rPr>
        <sz val="10"/>
        <rFont val="Arial"/>
        <family val="2"/>
      </rPr>
      <t xml:space="preserve"> </t>
    </r>
  </si>
  <si>
    <r>
      <t xml:space="preserve"> </t>
    </r>
    <r>
      <rPr>
        <sz val="9"/>
        <color indexed="8"/>
        <rFont val="Arial"/>
        <family val="2"/>
      </rPr>
      <t xml:space="preserve">109 </t>
    </r>
    <r>
      <rPr>
        <sz val="10"/>
        <rFont val="Arial"/>
        <family val="2"/>
      </rPr>
      <t xml:space="preserve"> </t>
    </r>
  </si>
  <si>
    <r>
      <t xml:space="preserve"> </t>
    </r>
    <r>
      <rPr>
        <sz val="9"/>
        <color indexed="8"/>
        <rFont val="Arial"/>
        <family val="2"/>
      </rPr>
      <t xml:space="preserve">P/H 4100XPB Shovel </t>
    </r>
    <r>
      <rPr>
        <sz val="10"/>
        <rFont val="Arial"/>
        <family val="2"/>
      </rPr>
      <t xml:space="preserve"> </t>
    </r>
  </si>
  <si>
    <r>
      <t xml:space="preserve"> </t>
    </r>
    <r>
      <rPr>
        <sz val="9"/>
        <color indexed="8"/>
        <rFont val="Arial"/>
        <family val="2"/>
      </rPr>
      <t xml:space="preserve">9,446 </t>
    </r>
    <r>
      <rPr>
        <sz val="10"/>
        <rFont val="Arial"/>
        <family val="2"/>
      </rPr>
      <t xml:space="preserve"> </t>
    </r>
  </si>
  <si>
    <r>
      <t xml:space="preserve"> </t>
    </r>
    <r>
      <rPr>
        <sz val="9"/>
        <color indexed="8"/>
        <rFont val="Arial"/>
        <family val="2"/>
      </rPr>
      <t xml:space="preserve">12 </t>
    </r>
    <r>
      <rPr>
        <sz val="10"/>
        <rFont val="Arial"/>
        <family val="2"/>
      </rPr>
      <t xml:space="preserve"> </t>
    </r>
  </si>
  <si>
    <r>
      <t xml:space="preserve"> </t>
    </r>
    <r>
      <rPr>
        <sz val="9"/>
        <color indexed="8"/>
        <rFont val="Arial"/>
        <family val="2"/>
      </rPr>
      <t xml:space="preserve">120 </t>
    </r>
    <r>
      <rPr>
        <sz val="10"/>
        <rFont val="Arial"/>
        <family val="2"/>
      </rPr>
      <t xml:space="preserve"> </t>
    </r>
  </si>
  <si>
    <r>
      <t xml:space="preserve"> </t>
    </r>
    <r>
      <rPr>
        <sz val="9"/>
        <color indexed="8"/>
        <rFont val="Arial"/>
        <family val="2"/>
      </rPr>
      <t xml:space="preserve">Bucyrus 2570 Dragline </t>
    </r>
    <r>
      <rPr>
        <sz val="10"/>
        <rFont val="Arial"/>
        <family val="2"/>
      </rPr>
      <t xml:space="preserve"> </t>
    </r>
  </si>
  <si>
    <r>
      <t xml:space="preserve"> </t>
    </r>
    <r>
      <rPr>
        <sz val="9"/>
        <color indexed="8"/>
        <rFont val="Arial"/>
        <family val="2"/>
      </rPr>
      <t xml:space="preserve">22,700 </t>
    </r>
    <r>
      <rPr>
        <sz val="10"/>
        <rFont val="Arial"/>
        <family val="2"/>
      </rPr>
      <t xml:space="preserve"> </t>
    </r>
  </si>
  <si>
    <r>
      <t xml:space="preserve"> </t>
    </r>
    <r>
      <rPr>
        <sz val="9"/>
        <color indexed="8"/>
        <rFont val="Arial"/>
        <family val="2"/>
      </rPr>
      <t xml:space="preserve">28 </t>
    </r>
    <r>
      <rPr>
        <sz val="10"/>
        <rFont val="Arial"/>
        <family val="2"/>
      </rPr>
      <t xml:space="preserve"> </t>
    </r>
  </si>
  <si>
    <r>
      <t xml:space="preserve"> </t>
    </r>
    <r>
      <rPr>
        <sz val="9"/>
        <color indexed="8"/>
        <rFont val="Arial"/>
        <family val="2"/>
      </rPr>
      <t xml:space="preserve">154 </t>
    </r>
    <r>
      <rPr>
        <sz val="10"/>
        <rFont val="Arial"/>
        <family val="2"/>
      </rPr>
      <t xml:space="preserve"> </t>
    </r>
  </si>
  <si>
    <r>
      <t xml:space="preserve"> </t>
    </r>
    <r>
      <rPr>
        <sz val="9"/>
        <color indexed="8"/>
        <rFont val="Arial"/>
        <family val="2"/>
      </rPr>
      <t xml:space="preserve">Marion 8200 Dragline </t>
    </r>
    <r>
      <rPr>
        <sz val="10"/>
        <rFont val="Arial"/>
        <family val="2"/>
      </rPr>
      <t xml:space="preserve"> </t>
    </r>
  </si>
  <si>
    <r>
      <t xml:space="preserve"> </t>
    </r>
    <r>
      <rPr>
        <sz val="9"/>
        <color indexed="8"/>
        <rFont val="Arial"/>
        <family val="2"/>
      </rPr>
      <t xml:space="preserve">18,000 </t>
    </r>
    <r>
      <rPr>
        <sz val="10"/>
        <rFont val="Arial"/>
        <family val="2"/>
      </rPr>
      <t xml:space="preserve"> </t>
    </r>
  </si>
  <si>
    <r>
      <t xml:space="preserve"> </t>
    </r>
    <r>
      <rPr>
        <sz val="9"/>
        <color indexed="8"/>
        <rFont val="Arial"/>
        <family val="2"/>
      </rPr>
      <t xml:space="preserve">22 </t>
    </r>
    <r>
      <rPr>
        <sz val="10"/>
        <rFont val="Arial"/>
        <family val="2"/>
      </rPr>
      <t xml:space="preserve"> </t>
    </r>
  </si>
  <si>
    <r>
      <t xml:space="preserve"> </t>
    </r>
    <r>
      <rPr>
        <sz val="9"/>
        <color indexed="8"/>
        <rFont val="Arial"/>
        <family val="2"/>
      </rPr>
      <t xml:space="preserve">157 </t>
    </r>
    <r>
      <rPr>
        <sz val="10"/>
        <rFont val="Arial"/>
        <family val="2"/>
      </rPr>
      <t xml:space="preserve"> </t>
    </r>
  </si>
  <si>
    <r>
      <t xml:space="preserve"> </t>
    </r>
    <r>
      <rPr>
        <sz val="9"/>
        <color indexed="8"/>
        <rFont val="Arial"/>
        <family val="2"/>
      </rPr>
      <t>Bucyrus 395 Shovel</t>
    </r>
    <r>
      <rPr>
        <sz val="10"/>
        <rFont val="Arial"/>
        <family val="2"/>
      </rPr>
      <t xml:space="preserve"> </t>
    </r>
  </si>
  <si>
    <r>
      <t xml:space="preserve"> </t>
    </r>
    <r>
      <rPr>
        <sz val="9"/>
        <color indexed="8"/>
        <rFont val="Arial"/>
        <family val="2"/>
      </rPr>
      <t xml:space="preserve">3,493 </t>
    </r>
    <r>
      <rPr>
        <sz val="10"/>
        <rFont val="Arial"/>
        <family val="2"/>
      </rPr>
      <t xml:space="preserve"> </t>
    </r>
  </si>
  <si>
    <r>
      <t xml:space="preserve"> </t>
    </r>
    <r>
      <rPr>
        <sz val="9"/>
        <color indexed="8"/>
        <rFont val="Arial"/>
        <family val="2"/>
      </rPr>
      <t xml:space="preserve">4 </t>
    </r>
    <r>
      <rPr>
        <sz val="10"/>
        <rFont val="Arial"/>
        <family val="2"/>
      </rPr>
      <t xml:space="preserve"> </t>
    </r>
  </si>
  <si>
    <r>
      <t xml:space="preserve"> </t>
    </r>
    <r>
      <rPr>
        <sz val="9"/>
        <color indexed="8"/>
        <rFont val="Arial"/>
        <family val="2"/>
      </rPr>
      <t xml:space="preserve">Total </t>
    </r>
    <r>
      <rPr>
        <sz val="10"/>
        <rFont val="Arial"/>
        <family val="2"/>
      </rPr>
      <t xml:space="preserve"> </t>
    </r>
  </si>
  <si>
    <r>
      <t xml:space="preserve"> </t>
    </r>
    <r>
      <rPr>
        <sz val="9"/>
        <color indexed="8"/>
        <rFont val="Arial"/>
        <family val="2"/>
      </rPr>
      <t xml:space="preserve">81,225 MWh </t>
    </r>
    <r>
      <rPr>
        <sz val="10"/>
        <rFont val="Arial"/>
        <family val="2"/>
      </rPr>
      <t xml:space="preserve"> </t>
    </r>
  </si>
  <si>
    <r>
      <t xml:space="preserve"> </t>
    </r>
    <r>
      <rPr>
        <sz val="9"/>
        <color indexed="8"/>
        <rFont val="Arial"/>
        <family val="2"/>
      </rPr>
      <t xml:space="preserve">100 % </t>
    </r>
    <r>
      <rPr>
        <sz val="10"/>
        <rFont val="Arial"/>
        <family val="2"/>
      </rPr>
      <t xml:space="preserve"> </t>
    </r>
  </si>
  <si>
    <t>North Antelope-Rochelle Mine</t>
  </si>
  <si>
    <t>gallons per 10 days</t>
  </si>
  <si>
    <t>diesel use</t>
  </si>
  <si>
    <t>gallons per year</t>
  </si>
  <si>
    <t>million tons per year, 2008</t>
  </si>
  <si>
    <t>kg/yr, 2008</t>
  </si>
  <si>
    <t>This mine uses draglines, dozers, shovels, and trucks that operate on two 12-hour shifts, 365 days a year. Currently 209 million tons of overburden is removed to obtain 88 million tons of coal.</t>
  </si>
  <si>
    <t>CO2 emissions from a gallon of diesel = 2,778 grams x 0.99 x (44/12) = 10,084 grams = 10.1 kg/gallon = 22.2 pounds/gallon</t>
  </si>
  <si>
    <t>CO2 Emission from Diesel calculations:</t>
  </si>
  <si>
    <t>kg CO2/gallon diesel</t>
  </si>
  <si>
    <t>gallons diesel/kg coal</t>
  </si>
  <si>
    <t>kg CO2/kg diesel fuel</t>
  </si>
  <si>
    <t>Mining operations at the North Antelope-Rochelle Mine. (Copyright 2007 © Jon Bryan Burley, all rights reserved, used by permission.)</t>
  </si>
  <si>
    <t>Each day, 5,800 tons of coal is sent on 16 trains to 79 different power plants. The coal supplied to different power plants is actually a blend of various types of coal to meet each plant's specifications. In the operations, 650,000 gallons of diesel fuel is consumed every 10 days. Over 1 billion tons of coal has been produced at this mine with reserves of about 1.2 billion tons.</t>
  </si>
  <si>
    <t>This mine has won numerous awards including: Sentinels of Safety Award from the U.S. Department of Labor for operating the nation's safest U.S. surface mine, the Wyoming Governor's Safety Award for the safest mine in the state, "Safe Sam" Award from the State Mine Inspector and the Wyoming Mining Association for the years 2004, 2005, and 2006, Gold Good Neighbor Award, U. S. Office of Surface Mining, Good Neighbor Award from the Wyoming Mining Association, and Corporation of the Year for Exemplary Conservation Principals from the Wyoming Wildlife Federation.</t>
  </si>
  <si>
    <t>2008 Coal Producer Survey</t>
  </si>
  <si>
    <t>Evaluation of Impacts to Underground Sources of Drinking Water by Hydraulic Fracturing of Coalbed Methane Reservoirs, Attachment 5: The Powder River Basin</t>
  </si>
  <si>
    <t>AP 42, Fifth Edition, Volume I, Chapter 11: Mineral Products Industry</t>
  </si>
  <si>
    <t>623G Wheel Tractor Scraper</t>
  </si>
  <si>
    <t>Materials Characterization Paper in Support of the Advanced Notice of Proposed Rulemaking -- Identification of Nonhazardous Materials that are Solid Waste</t>
  </si>
  <si>
    <t>Air Quality and Visibility Impacts of Powder River Basin Coal Mining at Badlands National Park</t>
  </si>
  <si>
    <t>Powder River Basin Coal Production</t>
  </si>
  <si>
    <t>Material Safety Data Sheet, ANFO</t>
  </si>
  <si>
    <t>Emission Estimation Technique Manual for Explosives Detonation and Firing Ranges</t>
  </si>
  <si>
    <t>Emission Facts: Average Carbon Dioxide Emissions Resulting from Gasoline and Diesel Fuel</t>
  </si>
  <si>
    <t>Draft Environmental Impact Study, West Antelope II Coal Lease Application, Chapter 4: Cumulative Environmental Consequences</t>
  </si>
  <si>
    <t>Development and Selection of Ammonia Emission Factors: Final Report</t>
  </si>
  <si>
    <t>Practical Observations of US Mining Practices for CTBT Monitoring</t>
  </si>
  <si>
    <t>National Pollutant Discharge Elimination System Permit, Water Quality Reporting Documentation</t>
  </si>
  <si>
    <t>Fuel Blending with PRB Coal</t>
  </si>
  <si>
    <t>National Mining Association</t>
  </si>
  <si>
    <t>EPA</t>
  </si>
  <si>
    <t>Caterpillar, Inc.</t>
  </si>
  <si>
    <t>McVehil, George E.</t>
  </si>
  <si>
    <t>Bureau of Land Management</t>
  </si>
  <si>
    <t>Maxam North America</t>
  </si>
  <si>
    <t>National Pollutant Inventory</t>
  </si>
  <si>
    <t>BLM</t>
  </si>
  <si>
    <t>Battye, R.</t>
  </si>
  <si>
    <t>Conaway, C.H.</t>
  </si>
  <si>
    <t>Los Alamos National Laboratory</t>
  </si>
  <si>
    <t>McCarthney, Richard</t>
  </si>
  <si>
    <t>Addison, E.L., Baugues, K.A.</t>
  </si>
  <si>
    <t>Battye, W., Overcash, C., Fudge, S.</t>
  </si>
  <si>
    <t>Mason, R.P., Steding, D.J., Flegal, A.R.</t>
  </si>
  <si>
    <t>Williams Jr, R.L.</t>
  </si>
  <si>
    <t>2001</t>
  </si>
  <si>
    <t>1999</t>
  </si>
  <si>
    <t>1995</t>
  </si>
  <si>
    <t>2006-2008</t>
  </si>
  <si>
    <t>2010</t>
  </si>
  <si>
    <t>May, 2009</t>
  </si>
  <si>
    <t>June 2004</t>
  </si>
  <si>
    <t>December 16, 2008</t>
  </si>
  <si>
    <t>March 9, 2001</t>
  </si>
  <si>
    <t>June 30,2009</t>
  </si>
  <si>
    <t>June 9, 2009</t>
  </si>
  <si>
    <t>March, 1999</t>
  </si>
  <si>
    <t>February, 2005</t>
  </si>
  <si>
    <t>February, 2008</t>
  </si>
  <si>
    <t>August, 1994</t>
  </si>
  <si>
    <t>Washington, D.C.</t>
  </si>
  <si>
    <t>US EPA</t>
  </si>
  <si>
    <t>Abandoned Coal Mine Lands Research Program</t>
  </si>
  <si>
    <t>US DOI, BLM</t>
  </si>
  <si>
    <t>Maxam North America, Inc.</t>
  </si>
  <si>
    <t>Department of the Environment, Water, Heritage and the Arts</t>
  </si>
  <si>
    <t>US EPA, Office of Transportation and Air Quality</t>
  </si>
  <si>
    <t>US DOE, Los Alamos National Laboratory</t>
  </si>
  <si>
    <t>Power-Gen Worldwide</t>
  </si>
  <si>
    <t>Coal Refuse</t>
  </si>
  <si>
    <t>EPA 816-R-04-003</t>
  </si>
  <si>
    <t>EPA420-F-05-001</t>
  </si>
  <si>
    <t>WYW163340</t>
  </si>
  <si>
    <t>68-D3-0034</t>
  </si>
  <si>
    <t>LA-UR-95-2698</t>
  </si>
  <si>
    <t>http://www.epa.gov/ogwdw000/uic/pdfs/cbmstudy_attach_uic_attach05_powder.pdf</t>
  </si>
  <si>
    <t>http://www.epa.gov/ttn/chief/ap42/ch11/index.html</t>
  </si>
  <si>
    <t>http://www.cat.com/cda/layout?m=308911&amp;x=7</t>
  </si>
  <si>
    <t>http://www.blm.gov/wy/st/en/programs/energy/Coal_Resources/PRB_Coal/production.html</t>
  </si>
  <si>
    <t>http://www.maxam-na.com/pdfs/WR%20ANFO%20MSDS.pdf</t>
  </si>
  <si>
    <t>http://www.epa.gov/oms/climate/420f05001.htm#calculating</t>
  </si>
  <si>
    <t>http://www.blm.gov/pgdata/etc/medialib/blm/wy/information/NEPA/cfodocs/westantelope.Par.18077.File.dat/008ch4.pdf</t>
  </si>
  <si>
    <t>http://www.osti.gov/bridge/servlets/purl/106510-W32p64/webviewable/106510.pdf</t>
  </si>
  <si>
    <t>http://www.epa-echo.gov/echo/compliance_report_water.html</t>
  </si>
  <si>
    <t>http://pepei.pennnet.com/display_article/355445/6/ARTCL/none/none/1/Fuel-Blending-with-PRB-Coal/</t>
  </si>
  <si>
    <t>1989-1998</t>
  </si>
  <si>
    <t>1998-2009</t>
  </si>
  <si>
    <t>United States</t>
  </si>
  <si>
    <t>Data for surface mine production in the US in 2008</t>
  </si>
  <si>
    <t>Coalbed methane data for PRB</t>
  </si>
  <si>
    <t>This sheet calculates the mass of explosives used at the coal mine.</t>
  </si>
  <si>
    <t>tons of explosives per year</t>
  </si>
  <si>
    <t>kg of explosives/yr</t>
  </si>
  <si>
    <t>kg/yr ANFO explosives</t>
  </si>
  <si>
    <t>million tons coal/yr</t>
  </si>
  <si>
    <t>amt coal/yr for all of PRB</t>
  </si>
  <si>
    <t>kg/yr coal production</t>
  </si>
  <si>
    <t>kg ANFO/kg coal produced</t>
  </si>
  <si>
    <t>wt% ammonium nitrate</t>
  </si>
  <si>
    <t>wt% fuel oil</t>
  </si>
  <si>
    <t>kg ammonium nitrate/kg coal</t>
  </si>
  <si>
    <t>kg light fuel oil/kg coal</t>
  </si>
  <si>
    <t xml:space="preserve">Mine Energy Assessment, Supplemental Report, Peabody Energy Company, Gillette, Wyoming. </t>
  </si>
  <si>
    <t>Peabody Energy Company</t>
  </si>
  <si>
    <t>October 31, 2005</t>
  </si>
  <si>
    <t>From June 1, 2004 to May 31, 2005 NAR</t>
  </si>
  <si>
    <t>produced 83,660 ktons of coal. During that</t>
  </si>
  <si>
    <t>period of time, coal activities used 25.2 GWh of</t>
  </si>
  <si>
    <t>electric energy. That translates to about 302 kWh or $ 9.35 per 1000 tons of coal.</t>
  </si>
  <si>
    <t>MWh</t>
  </si>
  <si>
    <t>Electricity Use</t>
  </si>
  <si>
    <t>Reclamation and Restoration Newsletter, Winter 2008</t>
  </si>
  <si>
    <t>Burley, J.B.</t>
  </si>
  <si>
    <t>Winter 2008</t>
  </si>
  <si>
    <t>ASLA</t>
  </si>
  <si>
    <t>http://www.asla.org/ppn/article.aspx?id=21152</t>
  </si>
  <si>
    <t>See Text below</t>
  </si>
  <si>
    <t>Diesel Consumption and Associated CO2 Emissions</t>
  </si>
  <si>
    <t>It is assumed that approximately 80% of the coalbed methane is practically extractable using standard coalbed methane recovery techniques (DBD), and that all of the remaining 20% is released during the mining and coal cleaning processes</t>
  </si>
  <si>
    <t>Assumes 12h/day usage of equipment</t>
  </si>
  <si>
    <t>Assumes 5 mph grading speed</t>
  </si>
  <si>
    <t>Assumes 20 year lifetime of coal mine, for existing mines</t>
  </si>
  <si>
    <t xml:space="preserve">Assumes that light fuel oil is used. </t>
  </si>
  <si>
    <t>Assumes that all explosives are Ammonium Nitrate Fuel Oil (ANFO)</t>
  </si>
  <si>
    <t>Explosive Use</t>
  </si>
  <si>
    <t>scf/ton</t>
  </si>
  <si>
    <t>80% is extracted previously</t>
  </si>
  <si>
    <t>Remaining</t>
  </si>
  <si>
    <t>Amount released during mine production</t>
  </si>
  <si>
    <t>kg/ton</t>
  </si>
  <si>
    <t>Mine Methane</t>
  </si>
  <si>
    <t>Water Consumed and Produced</t>
  </si>
  <si>
    <t>Annual Coal Production</t>
  </si>
  <si>
    <t>mmgpy</t>
  </si>
  <si>
    <t>Annual Water Consumption</t>
  </si>
  <si>
    <t>water consumption/kg coal</t>
  </si>
  <si>
    <t>Annual Water Production</t>
  </si>
  <si>
    <t>water production/kg coal</t>
  </si>
  <si>
    <t>Water Consumption</t>
  </si>
  <si>
    <t>E_CH4</t>
  </si>
  <si>
    <t>E_PM</t>
  </si>
  <si>
    <t>3,4</t>
  </si>
  <si>
    <t>[kg/kg coal] amount of fugitive dust released per kg coal mined</t>
  </si>
  <si>
    <t>E_NOx</t>
  </si>
  <si>
    <t>E_VOC</t>
  </si>
  <si>
    <t>4,5,6,7,8,9</t>
  </si>
  <si>
    <t>[kg/kg coal] amount of VOC released per kg coal mined</t>
  </si>
  <si>
    <t>E_CO</t>
  </si>
  <si>
    <t>[kg/kg coal] amount of CO released per kg coal mined</t>
  </si>
  <si>
    <t>E_Pb</t>
  </si>
  <si>
    <t>Diesel_Use</t>
  </si>
  <si>
    <t>[kg/kg coal] diesel use for mine ops</t>
  </si>
  <si>
    <t>Electricity_Use</t>
  </si>
  <si>
    <t>[kWh/kg coal] electricity use for mine ops</t>
  </si>
  <si>
    <t>EF_CO2</t>
  </si>
  <si>
    <t>E_CO2</t>
  </si>
  <si>
    <t>EF_CO2*Diesel_Use</t>
  </si>
  <si>
    <t>[kg/kg coal] kg of CO2 emitted due to diesel combustion per kg of coal produced</t>
  </si>
  <si>
    <t>EF_SO2</t>
  </si>
  <si>
    <t>[kg/kg diesel] amount of SO2 released per kg diesel used</t>
  </si>
  <si>
    <t>E_SO2</t>
  </si>
  <si>
    <t>EF_SO2*Diesel_Use</t>
  </si>
  <si>
    <t>Water_Consumed</t>
  </si>
  <si>
    <t>[kg/kg coal] kg of water consumed during mining per kg coal produced</t>
  </si>
  <si>
    <t>Water_Produced</t>
  </si>
  <si>
    <t>[kg/kg coal] kg of water produced during mining per kg coal produced</t>
  </si>
  <si>
    <t>EF_NH3</t>
  </si>
  <si>
    <t>E_NH3</t>
  </si>
  <si>
    <t>EF_NH3*Diesel_Use</t>
  </si>
  <si>
    <t>[kg/kg coal] kg of ammonia/kg coal produced</t>
  </si>
  <si>
    <t>EF_Hg</t>
  </si>
  <si>
    <t>E_Hg</t>
  </si>
  <si>
    <t>EF_Hg*Diesel_Use</t>
  </si>
  <si>
    <t>[kg/kg coal] kg of mercury/kg coal produced</t>
  </si>
  <si>
    <t>AmmonNit_Use</t>
  </si>
  <si>
    <t>8,14</t>
  </si>
  <si>
    <t>[kg/kg coal] kg of ammonium nitrate used per kg coal (for ANFO explosives)</t>
  </si>
  <si>
    <t>LtFuelOil_Use</t>
  </si>
  <si>
    <t>[kg/kg coal] kg of light fuel oil used per kg coal (for ANFO explosives)</t>
  </si>
  <si>
    <t>EF_w_Ammonia</t>
  </si>
  <si>
    <t>[kg/L water] kg of water quality constituent per L of water produced</t>
  </si>
  <si>
    <t>EF_w_N</t>
  </si>
  <si>
    <t>EF_w_P</t>
  </si>
  <si>
    <t>EF_w_Selenium</t>
  </si>
  <si>
    <t>EF_w_SO4</t>
  </si>
  <si>
    <t>EF_w_TDS</t>
  </si>
  <si>
    <t>EF_w_TSS</t>
  </si>
  <si>
    <t>EF_w_Al</t>
  </si>
  <si>
    <t>EF_w_As</t>
  </si>
  <si>
    <t>EF_w_Cu</t>
  </si>
  <si>
    <t>EF_w_Fe</t>
  </si>
  <si>
    <t>EF_w_Pb</t>
  </si>
  <si>
    <t>EF_w_Mn</t>
  </si>
  <si>
    <t>EF_w_Ni</t>
  </si>
  <si>
    <t>E_w_Ammonia</t>
  </si>
  <si>
    <t>EF_w_Ammonia*Water_Produced</t>
  </si>
  <si>
    <t>[kg/kg coal] kg of water quality constituent per kg coal produced</t>
  </si>
  <si>
    <t>E_w_N</t>
  </si>
  <si>
    <t>EF_w_N*Water_Produced</t>
  </si>
  <si>
    <t>E_w_P</t>
  </si>
  <si>
    <t>EF_w_P*Water_Produced</t>
  </si>
  <si>
    <t>E_w_Selenium</t>
  </si>
  <si>
    <t>EF_w_Selenium*Water_Produced</t>
  </si>
  <si>
    <t>E_w_SO4</t>
  </si>
  <si>
    <t>EF_w_SO4*Water_Produced</t>
  </si>
  <si>
    <t>E_w_TDS</t>
  </si>
  <si>
    <t>EF_w_TDS*Water_Produced</t>
  </si>
  <si>
    <t>E_w_TSS</t>
  </si>
  <si>
    <t>EF_w_TSS*Water_Produced</t>
  </si>
  <si>
    <t>E_w_Al</t>
  </si>
  <si>
    <t>EF_w_Al*Water_Produced</t>
  </si>
  <si>
    <t>E_w_As</t>
  </si>
  <si>
    <t>EF_w_As*Water_Produced</t>
  </si>
  <si>
    <t>E_w_Cu</t>
  </si>
  <si>
    <t>EF_w_Cu*Water_Produced</t>
  </si>
  <si>
    <t>E_w_Fe</t>
  </si>
  <si>
    <t>EF_w_Fe*Water_Produced</t>
  </si>
  <si>
    <t>E_w_Pb</t>
  </si>
  <si>
    <t>EF_w_Pb*Water_Produced</t>
  </si>
  <si>
    <t>E_w_Mn</t>
  </si>
  <si>
    <t>EF_w_Mn*Water_Produced</t>
  </si>
  <si>
    <t>E_w_Ni</t>
  </si>
  <si>
    <t>EF_w_Ni*Water_Produced</t>
  </si>
  <si>
    <t>Ammonium nitrate [Inorganic intermediate products]</t>
  </si>
  <si>
    <t>Light fuel oil [Crude oil products]</t>
  </si>
  <si>
    <t>8, 14</t>
  </si>
  <si>
    <t>[Technosphere] ammonium needed for explosives</t>
  </si>
  <si>
    <t>[Technosphere] for equipment use</t>
  </si>
  <si>
    <t>[Technosphere] needed for explosives</t>
  </si>
  <si>
    <t>[Technosphere] electricity needed for operations</t>
  </si>
  <si>
    <t>[Resource] water needed during mine operations</t>
  </si>
  <si>
    <t>Nitrogen dioxide [Inorganic emissions to air]</t>
  </si>
  <si>
    <t>Sulphur dioxide [Inorganic emissions to air]</t>
  </si>
  <si>
    <t>Volatile Organic Carbons [Organic emissions to air]</t>
  </si>
  <si>
    <t>Ammonium / ammonia [Inorganic emissions to fresh water]</t>
  </si>
  <si>
    <t>Nitrogen [Inorganic emissions to fresh water]</t>
  </si>
  <si>
    <t>Phosphorus [Inorganic emissions to fresh water]</t>
  </si>
  <si>
    <t>Aluminium [Heavy metals to fresh water]</t>
  </si>
  <si>
    <t>Selenium [inorganic emissions to fresh water]</t>
  </si>
  <si>
    <t>Sulfate [inorganic emissions to fresh water]</t>
  </si>
  <si>
    <t>Total Dissolved Solids [inorganic emissions to fresh water]</t>
  </si>
  <si>
    <t>Total Suspended Solids [inorganic emissions to fresh water]</t>
  </si>
  <si>
    <t>Arsenic [Heavy metals to fresh water]</t>
  </si>
  <si>
    <t>Copper [Heavy metals to fresh water]</t>
  </si>
  <si>
    <t>Lead [Heavy metals to fresh water]</t>
  </si>
  <si>
    <t>Manganese [Heavy metals to fresh water]</t>
  </si>
  <si>
    <t>Nickel [Heavy metals to fresh water]</t>
  </si>
  <si>
    <t>Water (wastewater) [Water]</t>
  </si>
  <si>
    <t>WaterEmissions</t>
  </si>
  <si>
    <t>MineProduction</t>
  </si>
  <si>
    <t>Air_Efs</t>
  </si>
  <si>
    <t>Elec_Use</t>
  </si>
  <si>
    <t>DieselUse_CO2</t>
  </si>
  <si>
    <t>Explosives</t>
  </si>
  <si>
    <t>MineCH4</t>
  </si>
  <si>
    <t>WaterConsumption</t>
  </si>
  <si>
    <t>Calculations: PM Emissions for Mining</t>
  </si>
  <si>
    <t>Calculations: Air Emission Factors for Mining</t>
  </si>
  <si>
    <t>Calculations: Electricity Use for Mining</t>
  </si>
  <si>
    <t>Calculations: Explosives Use and Emissions</t>
  </si>
  <si>
    <t>Calculations: Water Consumption for Mining</t>
  </si>
  <si>
    <t>Calculations: Coal Production from the Mine</t>
  </si>
  <si>
    <t>Calculations: Water Emissions for Mining</t>
  </si>
  <si>
    <t>Cost and Performance Baseline for Fossil Energy Systems, Volume 3</t>
  </si>
  <si>
    <t>NETL</t>
  </si>
  <si>
    <t>In press</t>
  </si>
  <si>
    <t>in press</t>
  </si>
  <si>
    <t>Reference [19] table 3-1 (pasted at right)</t>
  </si>
  <si>
    <t>[kg/kg coal] amount of Pb released per kg coal mined</t>
  </si>
  <si>
    <t>[kg/kg diesel] amount of CO2 emitted per kg diesel used</t>
  </si>
  <si>
    <t>[kg/kg coal] amount of SO2 released due to diesel combustion per kg coal produced</t>
  </si>
  <si>
    <t>[kg/kg diesel] amount of NH3 produced per kg diesel used</t>
  </si>
  <si>
    <t>[kg/kg diesel] amount of Hg produced per kg diesel used</t>
  </si>
  <si>
    <r>
      <t xml:space="preserve">National Mining Association. 2009. </t>
    </r>
    <r>
      <rPr>
        <i/>
        <sz val="10"/>
        <rFont val="Arial"/>
        <family val="2"/>
      </rPr>
      <t>2008 Coal Producer Survey</t>
    </r>
    <r>
      <rPr>
        <sz val="10"/>
        <rFont val="Arial"/>
        <family val="2"/>
      </rPr>
      <t>. National Mining Association. Washington, D.C. May, 2009. http://www.nma.org/pdf/members/coal_producer_survey2008.pdf (Accessed December 18, 2009).</t>
    </r>
  </si>
  <si>
    <r>
      <t xml:space="preserve">EPA. 2004. </t>
    </r>
    <r>
      <rPr>
        <i/>
        <sz val="10"/>
        <rFont val="Arial"/>
        <family val="2"/>
      </rPr>
      <t>Evaluation of Impacts to Underground Sources of Drinking Water by Hydraulic Fracturing of Coalbed Methane Reservoirs, Attachment 5: The Powder River Basin</t>
    </r>
    <r>
      <rPr>
        <sz val="10"/>
        <rFont val="Arial"/>
        <family val="2"/>
      </rPr>
      <t>. U.S. Environmental Protection Agency.  EPA 816-R-04-003. http://www.epa.gov/ogwdw000/uic/pdfs/cbmstudy_attach_uic_attach05_powder.pdf (Accessed December 20, 2009).</t>
    </r>
  </si>
  <si>
    <r>
      <t xml:space="preserve">US EPA. 2009. </t>
    </r>
    <r>
      <rPr>
        <i/>
        <sz val="10"/>
        <rFont val="Arial"/>
        <family val="2"/>
      </rPr>
      <t>AP 42, Fifth Edition, Volume I, Chapter 11: Mineral Products Industry</t>
    </r>
    <r>
      <rPr>
        <sz val="10"/>
        <rFont val="Arial"/>
        <family val="2"/>
      </rPr>
      <t>. U.S. Environmental Protectin Agency. http://www.epa.gov/ttn/chief/ap42/ch11/index.html (Accessed December 20, 2009).</t>
    </r>
  </si>
  <si>
    <r>
      <t xml:space="preserve">Caterpillar. 2009. </t>
    </r>
    <r>
      <rPr>
        <i/>
        <sz val="10"/>
        <rFont val="Arial"/>
        <family val="2"/>
      </rPr>
      <t>623G Wheel Tractor Scraper</t>
    </r>
    <r>
      <rPr>
        <sz val="10"/>
        <rFont val="Arial"/>
        <family val="2"/>
      </rPr>
      <t>. Caterpillar, Inc. http://www.cat.com/cda/layout?m=308911&amp;x=7 (Accessed December 20, 2009).</t>
    </r>
  </si>
  <si>
    <r>
      <t xml:space="preserve">EPA. 2008. "Materials Characterization Paper in Support of the Advanced Notice of Proposed Rulemaking -- Identification of Nonhazardous Materials that are Solid Waste." </t>
    </r>
    <r>
      <rPr>
        <i/>
        <sz val="10"/>
        <rFont val="Arial"/>
        <family val="2"/>
      </rPr>
      <t>Coal Refuse</t>
    </r>
    <r>
      <rPr>
        <sz val="10"/>
        <rFont val="Arial"/>
        <family val="2"/>
      </rPr>
      <t>. U.S. Environmental Protection Agency. December 16, 2008.</t>
    </r>
  </si>
  <si>
    <r>
      <t xml:space="preserve">McVehil, G.E.; Addison, E.L.; Baugues, K.A. 2001. </t>
    </r>
    <r>
      <rPr>
        <i/>
        <sz val="10"/>
        <rFont val="Arial"/>
        <family val="2"/>
      </rPr>
      <t>Air Quality and Visibility Impacts of Powder River Basin Coal Mining at Badlands National Park</t>
    </r>
    <r>
      <rPr>
        <sz val="10"/>
        <rFont val="Arial"/>
        <family val="2"/>
      </rPr>
      <t>. Abandoned Coal Mine Lands Research Program, University of Wyoming. March 9, 2001.</t>
    </r>
  </si>
  <si>
    <r>
      <t xml:space="preserve">Bureau of Land Management. 2009. </t>
    </r>
    <r>
      <rPr>
        <i/>
        <sz val="10"/>
        <rFont val="Arial"/>
        <family val="2"/>
      </rPr>
      <t>Powder River Basin Coal Production</t>
    </r>
    <r>
      <rPr>
        <sz val="10"/>
        <rFont val="Arial"/>
        <family val="2"/>
      </rPr>
      <t>. U.S. Department of the Interior, Bureau of Land Management. http://www.blm.gov/wy/st/en/programs/energy/Coal_Resources/PRB_Coal/production.html (Accessed December 20, 2009).</t>
    </r>
  </si>
  <si>
    <r>
      <t xml:space="preserve">Maxam North America. 2009. </t>
    </r>
    <r>
      <rPr>
        <i/>
        <sz val="10"/>
        <rFont val="Arial"/>
        <family val="2"/>
      </rPr>
      <t>Material Safety Data Sheet, ANFO</t>
    </r>
    <r>
      <rPr>
        <sz val="10"/>
        <rFont val="Arial"/>
        <family val="2"/>
      </rPr>
      <t>.  Maxam North America, Inc. http://www.maxam-na.com/pdfs/WR%20ANFO%20MSDS.pdf (Accessed December 21, 2009).</t>
    </r>
  </si>
  <si>
    <r>
      <t xml:space="preserve">National Pollutant Inventory. 1999. </t>
    </r>
    <r>
      <rPr>
        <i/>
        <sz val="10"/>
        <rFont val="Arial"/>
        <family val="2"/>
      </rPr>
      <t>Emission Estimation Technique Manual for Explosives Detonation and Firing Ranges</t>
    </r>
    <r>
      <rPr>
        <sz val="10"/>
        <rFont val="Arial"/>
        <family val="2"/>
      </rPr>
      <t>. Department of the Environment, Water, Heritage and the Arts. First published March, 1999.</t>
    </r>
  </si>
  <si>
    <r>
      <t xml:space="preserve">EPA. 2005. </t>
    </r>
    <r>
      <rPr>
        <i/>
        <sz val="10"/>
        <rFont val="Arial"/>
        <family val="2"/>
      </rPr>
      <t>Emission Facts: Average Carbon Dioxide Emissions Resulting from Gasoline and Diesel Fuel</t>
    </r>
    <r>
      <rPr>
        <sz val="10"/>
        <rFont val="Arial"/>
        <family val="2"/>
      </rPr>
      <t>. U.S. Environmental Protection Agency, Office of Transportation and Air Quality. EPA 420-F-05-001. http://www.epa.gov/oms/climate/420f05001.pdf (Accessed December 21, 2009).</t>
    </r>
  </si>
  <si>
    <r>
      <t xml:space="preserve">BLM. 2008. </t>
    </r>
    <r>
      <rPr>
        <i/>
        <sz val="10"/>
        <rFont val="Arial"/>
        <family val="2"/>
      </rPr>
      <t>Draft Environmental Impact Study, West Antelope II Coal Lease Application, Chapter 4: Cumulative Environmental Consequences</t>
    </r>
    <r>
      <rPr>
        <sz val="10"/>
        <rFont val="Arial"/>
        <family val="2"/>
      </rPr>
      <t>. U.S. Department of the Interior, Bureau of Land Management. WYW163340. http://www.blm.gov/pgdata/etc/medialib/blm/wy/information/NEPA/cfodocs/westantelope.Par.18077.File.dat/008ch4.pdf (Accessed December 21, 2009).</t>
    </r>
  </si>
  <si>
    <r>
      <t xml:space="preserve">Battye, R., Battye, W., Overcash, C., Fudge, S. 1994. </t>
    </r>
    <r>
      <rPr>
        <i/>
        <sz val="10"/>
        <rFont val="Arial"/>
        <family val="2"/>
      </rPr>
      <t>Development and Selection of Ammonia Emission Factors: Final Report</t>
    </r>
    <r>
      <rPr>
        <sz val="10"/>
        <rFont val="Arial"/>
        <family val="2"/>
      </rPr>
      <t>. U.S. Environmental Protection Agency. 68-D3-0034. August, 1994.</t>
    </r>
  </si>
  <si>
    <r>
      <t xml:space="preserve">Conaway, C.H., Mason, R.P., Steding, D.J., Flegal, A.R. 2005. "Estimate of mercury emission from gasoline and diesel fuel consumption, San Francisco Bay area, California." </t>
    </r>
    <r>
      <rPr>
        <i/>
        <sz val="10"/>
        <rFont val="Arial"/>
        <family val="2"/>
      </rPr>
      <t>Atmospheric Environment</t>
    </r>
    <r>
      <rPr>
        <sz val="10"/>
        <rFont val="Arial"/>
        <family val="2"/>
      </rPr>
      <t xml:space="preserve"> 39:101-105.</t>
    </r>
  </si>
  <si>
    <r>
      <t xml:space="preserve">Los Alamos National Laboratory. 1995. </t>
    </r>
    <r>
      <rPr>
        <i/>
        <sz val="10"/>
        <rFont val="Arial"/>
        <family val="2"/>
      </rPr>
      <t>Practical Observations of US Mining Practices for CTBT Monitoring</t>
    </r>
    <r>
      <rPr>
        <sz val="10"/>
        <rFont val="Arial"/>
        <family val="2"/>
      </rPr>
      <t>. U.S. Department of Energy, Los Alamos National Laboratory. LA-UR-95-2698. http://www.osti.gov/bridge/purl.cover.jsp;jsessionid=F0A315CC7298CC29D5EFF7638CD698E9?purl=/106510-W32p64/webviewable/ (Accessed December 21, 2009).</t>
    </r>
  </si>
  <si>
    <r>
      <t xml:space="preserve">EPA. 2009. </t>
    </r>
    <r>
      <rPr>
        <i/>
        <sz val="10"/>
        <rFont val="Arial"/>
        <family val="2"/>
      </rPr>
      <t>National Pollutant Discharge Elimination System Permit, Water Quality Reporting Documentation</t>
    </r>
    <r>
      <rPr>
        <sz val="10"/>
        <rFont val="Arial"/>
        <family val="2"/>
      </rPr>
      <t>. U.S. Environmental Protection Agency. http://www.epa-echo.gov/echo/compliance_report_water.html (Accessed December 21, 2009).</t>
    </r>
  </si>
  <si>
    <r>
      <t xml:space="preserve">McCarthney, R.H. &amp; Williams Jr., R.L. 2010. </t>
    </r>
    <r>
      <rPr>
        <i/>
        <sz val="10"/>
        <rFont val="Arial"/>
        <family val="2"/>
      </rPr>
      <t>Fuel Blending with PRB Coal</t>
    </r>
    <r>
      <rPr>
        <sz val="10"/>
        <rFont val="Arial"/>
        <family val="2"/>
      </rPr>
      <t>. Power-Gen Worldwide. http://pepei.pennnet.com/display_article/355445/6/ARTCL/none/none/1/Fuel-Blending-with-PRB-Coal/ (Accessed February 9, 2010).</t>
    </r>
  </si>
  <si>
    <r>
      <t xml:space="preserve">Peabody Energy Company. 2005. </t>
    </r>
    <r>
      <rPr>
        <i/>
        <sz val="10"/>
        <rFont val="Arial"/>
        <family val="2"/>
      </rPr>
      <t>Mine Energy Assesment, Supplemental Report, Peabody Energy Company, Gillette, Wyoming</t>
    </r>
    <r>
      <rPr>
        <sz val="10"/>
        <rFont val="Arial"/>
        <family val="2"/>
      </rPr>
      <t>. Peabody Energy Company.</t>
    </r>
  </si>
  <si>
    <r>
      <t xml:space="preserve">Burley, J.B. 2008. </t>
    </r>
    <r>
      <rPr>
        <i/>
        <sz val="10"/>
        <rFont val="Arial"/>
        <family val="2"/>
      </rPr>
      <t>Reclamation and Restoration Newsletter, Winter 2008</t>
    </r>
    <r>
      <rPr>
        <sz val="10"/>
        <rFont val="Arial"/>
        <family val="2"/>
      </rPr>
      <t>. ASLA. http://www.asla.org/ppn/article.aspx?id=21152 (Accessed February 9, 2010)</t>
    </r>
  </si>
  <si>
    <r>
      <t xml:space="preserve">NETL. </t>
    </r>
    <r>
      <rPr>
        <i/>
        <sz val="10"/>
        <rFont val="Arial"/>
        <family val="2"/>
      </rPr>
      <t>Cost and Performance Baseline for Fossil Energy Systems, Volume 3</t>
    </r>
    <r>
      <rPr>
        <sz val="10"/>
        <rFont val="Arial"/>
        <family val="2"/>
      </rPr>
      <t>. NETL, U.S. Department of Energy. In press.</t>
    </r>
  </si>
  <si>
    <t>Reference [15]</t>
  </si>
  <si>
    <t>Reference [1] pg 13, Table 3</t>
  </si>
  <si>
    <t>Reference [3]</t>
  </si>
  <si>
    <t>Assume that mitigation measures would reduce emissions by 85%</t>
  </si>
  <si>
    <t>Reference [12] pg 74 Table 5-6</t>
  </si>
  <si>
    <t>Reference [13] pg 104, Table 2</t>
  </si>
  <si>
    <t>Reference [17]</t>
  </si>
  <si>
    <t>Reference [17] , page 12</t>
  </si>
  <si>
    <t>Reference [18]</t>
  </si>
  <si>
    <t>Reference[10]</t>
  </si>
  <si>
    <t>Note: Some conversion factors are hard-keyed into calculations</t>
  </si>
  <si>
    <t>Reference [14] page 6, top of page</t>
  </si>
  <si>
    <t>Reference [5]</t>
  </si>
  <si>
    <t>Reference [14] page 4, bottom of page</t>
  </si>
  <si>
    <t>Reference [8] page 1</t>
  </si>
  <si>
    <t>Reference [8], page 1</t>
  </si>
  <si>
    <t>Reference [14], page 6</t>
  </si>
  <si>
    <t>Reference [14], page 4</t>
  </si>
  <si>
    <t>Reference [11] pg 4-10 (pdf pg 10), Table 4-2</t>
  </si>
  <si>
    <t>DQI Significance Check</t>
  </si>
  <si>
    <t>Background</t>
  </si>
  <si>
    <t>Emission outputs for Coal Mining and Preparation</t>
  </si>
  <si>
    <t>Ammonia Significance</t>
  </si>
  <si>
    <t>Emissions</t>
  </si>
  <si>
    <t>% impact</t>
  </si>
  <si>
    <t>% impact excluding GHGs</t>
  </si>
  <si>
    <t>Carbon Dioxide - Inorganic Emission to Air</t>
  </si>
  <si>
    <t>kg/kg coal produced</t>
  </si>
  <si>
    <t>VOCs - unspecified</t>
  </si>
  <si>
    <t>Methane - Organic Emissions to Air</t>
  </si>
  <si>
    <t>Nitrogen Oxides - Inorganic Emissions to Air</t>
  </si>
  <si>
    <r>
      <t>Sulfur oxides (</t>
    </r>
    <r>
      <rPr>
        <sz val="10"/>
        <rFont val="Arial"/>
        <family val="0"/>
      </rPr>
      <t>SO</t>
    </r>
    <r>
      <rPr>
        <vertAlign val="subscript"/>
        <sz val="10"/>
        <rFont val="Arial"/>
        <family val="2"/>
      </rPr>
      <t>X</t>
    </r>
    <r>
      <rPr>
        <sz val="10"/>
        <rFont val="Arial"/>
        <family val="0"/>
      </rPr>
      <t>) - Inorganic Emissions to Air</t>
    </r>
  </si>
  <si>
    <t>Particulate Matter, unspecified - Particles to Air</t>
  </si>
  <si>
    <t>Carbon Monoxide - Inorganic Emissions to Air</t>
  </si>
  <si>
    <t>Total Excluding GHGs</t>
  </si>
  <si>
    <t xml:space="preserve"> - Ammonia emissions are below 1% cut-off in both total air emissions and air emissions excluding GHGs</t>
  </si>
  <si>
    <t xml:space="preserve"> - No range of values for ammonia emission factor in Reference [7]</t>
  </si>
  <si>
    <t>Therefore, it is concluded that ammonia emissions during coal mining and preparation are not significant.</t>
  </si>
  <si>
    <t>Calculated outside of this DS, but reference data are provided below</t>
  </si>
  <si>
    <t>Item</t>
  </si>
  <si>
    <t>Assumption [2]</t>
  </si>
  <si>
    <t>Assumption [3]</t>
  </si>
  <si>
    <t>Assumption [4]</t>
  </si>
  <si>
    <t>Assumption [7]</t>
  </si>
  <si>
    <t>NOTE THAT CAST BLASTING IS NOT USED FOR ENV REASONS (excessive NOx emissions)</t>
  </si>
  <si>
    <t>Reference [6], Table 4-1</t>
  </si>
  <si>
    <t>SO2 Emission Factor Calculations</t>
  </si>
  <si>
    <t>NOx including blasting NOx</t>
  </si>
  <si>
    <t>Assumption [1]</t>
  </si>
  <si>
    <t>Reference [16]</t>
  </si>
  <si>
    <t>DQI sig check</t>
  </si>
  <si>
    <t>Significance Check for DQI (See Also DQI Worksheet)</t>
  </si>
  <si>
    <t>NETL Life Cycle Inventory Data - Detailed Spreadsheet Documentation</t>
  </si>
  <si>
    <t>[kg/kg coal] Adjustable parameter; amount of methane released from the mining and coal cleaning process</t>
  </si>
  <si>
    <t>[kg/kg coal] amount of NOx released per kg coal mined</t>
  </si>
  <si>
    <t>Total UP (unaltered)</t>
  </si>
  <si>
    <t>South East</t>
  </si>
  <si>
    <t>Southern Appalachia Bituminous Coal</t>
  </si>
  <si>
    <t>Based on a compilation of mines, a surface mine for Southern Appalachia bituminous coal, producing ~6 billion kg of coal per year. Assumes 24.9 scf/short ton coal mine CH4 (CMM) emissions, adjustable CMM capture rates; LHV=12760 Btu/lb.</t>
  </si>
  <si>
    <t>2, 20</t>
  </si>
  <si>
    <r>
      <t xml:space="preserve">This unit process is composed of this document and the file, </t>
    </r>
    <r>
      <rPr>
        <i/>
        <sz val="10"/>
        <rFont val="Arial"/>
        <family val="2"/>
      </rPr>
      <t>DF_Stage1_O_Surface_Coal_Mine_SouthAppBit_2011.01.doc</t>
    </r>
    <r>
      <rPr>
        <sz val="10"/>
        <rFont val="Tahoma"/>
        <family val="2"/>
      </rPr>
      <t xml:space="preserve">, which provides additional details regarding calculations, data quality, and references as relevant. </t>
    </r>
  </si>
  <si>
    <t>Calculations: Coal Mine Methane</t>
  </si>
  <si>
    <r>
      <t>This document should be cited as:</t>
    </r>
    <r>
      <rPr>
        <i/>
        <sz val="10"/>
        <rFont val="Arial"/>
        <family val="2"/>
      </rPr>
      <t xml:space="preserve"> </t>
    </r>
    <r>
      <rPr>
        <sz val="10"/>
        <rFont val="Arial"/>
        <family val="2"/>
      </rPr>
      <t xml:space="preserve">NETL (2011). </t>
    </r>
    <r>
      <rPr>
        <i/>
        <sz val="10"/>
        <rFont val="Arial"/>
        <family val="2"/>
      </rPr>
      <t xml:space="preserve">NETL Life Cycle Inventory Data – Unit Process: Surface Mine, Southern Appalachia Bituminous Coal, Operation. </t>
    </r>
    <r>
      <rPr>
        <sz val="10"/>
        <rFont val="Arial"/>
        <family val="2"/>
      </rPr>
      <t>U.S. Department of Energy, National Energy Technology Laboratory. Last Updated: July 2011 (version 01). www.netl.doe.gov/energy-analyses (http://www.netl.doe.gov/energy-analyses)</t>
    </r>
  </si>
  <si>
    <t>Surface Mine, Southern Appalachia Bituminous Coal, Operations</t>
  </si>
  <si>
    <t xml:space="preserve">Inventory of U.S. Greenhouse Gas Emissions and Sinks: 1990-2009. Annex 3. </t>
  </si>
  <si>
    <t>U.S. Environmental Protection Agency</t>
  </si>
  <si>
    <t>2011</t>
  </si>
  <si>
    <t>April 15, 2011</t>
  </si>
  <si>
    <t>Washington, DC/Internet</t>
  </si>
  <si>
    <t>Annex 3, p. A-144</t>
  </si>
  <si>
    <t>Table A-116: Coal Surface and Post-Mining CH4 Emission Factors (ft^3 per Short Ton)</t>
  </si>
  <si>
    <t>EPA 430-R-11-005</t>
  </si>
  <si>
    <t>http://epa.gov/climatechange/emissions/downloads11/US-GHG-Inventory-2011-Annex_Complete_Report.pdf</t>
  </si>
  <si>
    <t>Individual Coal Basins</t>
  </si>
  <si>
    <t xml:space="preserve">U.S. Environmental Protection Agency. 2011. Inventory of U.S. Greenhouse Gas Emissions and Sinks: 1990-2009. Annex 3. US EPA, Washington, DC. April 15, 2011. EPA 430-R-11-005. http://epa.gov/climatechange/emissions/downloads11/US-GHG-Inventory-2011-Annex_Complete_Report.pdf (accessed July 25, 2011). </t>
  </si>
  <si>
    <t>In situ undergound and surface coal mine methane averages for individual coal basins in the United States, Annex 3, Table A-116</t>
  </si>
  <si>
    <t>Reference [20], Annex 3, page A-144, Table A-116</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</si>
</sst>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quot;&quot;;General"/>
    <numFmt numFmtId="166" formatCode="0.00E+0;[=0]&quot;-&quot;;0.00E+0"/>
    <numFmt numFmtId="167" formatCode="_ [$€-2]\ * #,##0.00_ ;_ [$€-2]\ * \-#,##0.00_ ;_ [$€-2]\ * &quot;-&quot;??_ "/>
    <numFmt numFmtId="168" formatCode="0.00000000"/>
    <numFmt numFmtId="169" formatCode="0.0000000"/>
    <numFmt numFmtId="170" formatCode="#,##0.0"/>
    <numFmt numFmtId="171" formatCode="#,##0.000"/>
    <numFmt numFmtId="172" formatCode="#,##0.00000"/>
    <numFmt numFmtId="173" formatCode="#,##0.0000000"/>
    <numFmt numFmtId="174" formatCode="mmm\-yyyy"/>
    <numFmt numFmtId="175" formatCode="0.000E+00"/>
    <numFmt numFmtId="176" formatCode="0.0"/>
    <numFmt numFmtId="177" formatCode="mmm\ dd\,\ yyyy"/>
    <numFmt numFmtId="178" formatCode="yyyy"/>
    <numFmt numFmtId="179" formatCode="m/d/yy\ h:mm"/>
    <numFmt numFmtId="180" formatCode="_(* #,##0.0000_);_(* \(#,##0.0000\);_(* &quot;-&quot;??_);_(@_)"/>
    <numFmt numFmtId="181" formatCode="0.000000%"/>
    <numFmt numFmtId="182" formatCode="_(* #,##0_);_(* \(#,##0\);_(* &quot;-&quot;??_);_(@_)"/>
    <numFmt numFmtId="183" formatCode="_(* #,##0.00000_);_(* \(#,##0.00000\);_(* &quot;-&quot;??_);_(@_)"/>
    <numFmt numFmtId="184" formatCode="_(* #,##0.000000_);_(* \(#,##0.000000\);_(* &quot;-&quot;??_);_(@_)"/>
    <numFmt numFmtId="185" formatCode="0.00000E+00"/>
    <numFmt numFmtId="186" formatCode="_(* #,##0.00000000_);_(* \(#,##0.00000000\);_(* &quot;-&quot;??_);_(@_)"/>
    <numFmt numFmtId="187" formatCode="0.000000000000"/>
    <numFmt numFmtId="188" formatCode="0.000000"/>
    <numFmt numFmtId="189" formatCode="0.00000"/>
    <numFmt numFmtId="190" formatCode="0.000"/>
    <numFmt numFmtId="191" formatCode="0.0000E+00"/>
    <numFmt numFmtId="192" formatCode="&quot;Yes&quot;;&quot;Yes&quot;;&quot;No&quot;"/>
    <numFmt numFmtId="193" formatCode="&quot;True&quot;;&quot;True&quot;;&quot;False&quot;"/>
    <numFmt numFmtId="194" formatCode="&quot;On&quot;;&quot;On&quot;;&quot;Off&quot;"/>
    <numFmt numFmtId="195" formatCode="[$€-2]\ #,##0.00_);[Red]\([$€-2]\ #,##0.00\)"/>
    <numFmt numFmtId="196" formatCode="0.0%"/>
  </numFmts>
  <fonts count="62">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i/>
      <sz val="10"/>
      <name val="Arial"/>
      <family val="2"/>
    </font>
    <font>
      <b/>
      <sz val="12"/>
      <name val="Times New Roman"/>
      <family val="1"/>
    </font>
    <font>
      <sz val="12"/>
      <name val="Times New Roman"/>
      <family val="1"/>
    </font>
    <font>
      <i/>
      <sz val="9"/>
      <name val="Arial"/>
      <family val="2"/>
    </font>
    <font>
      <b/>
      <u val="single"/>
      <sz val="14"/>
      <name val="Arial"/>
      <family val="2"/>
    </font>
    <font>
      <sz val="10"/>
      <name val="Tahoma"/>
      <family val="2"/>
    </font>
    <font>
      <b/>
      <i/>
      <u val="single"/>
      <sz val="10"/>
      <name val="Arial"/>
      <family val="2"/>
    </font>
    <font>
      <b/>
      <sz val="14"/>
      <name val="Arial"/>
      <family val="2"/>
    </font>
    <font>
      <b/>
      <sz val="9"/>
      <color indexed="8"/>
      <name val="Arial"/>
      <family val="2"/>
    </font>
    <font>
      <sz val="9"/>
      <color indexed="8"/>
      <name val="Arial"/>
      <family val="2"/>
    </font>
    <font>
      <sz val="11"/>
      <name val="Calibri"/>
      <family val="2"/>
    </font>
    <font>
      <vertAlign val="subscript"/>
      <sz val="10"/>
      <name val="Arial"/>
      <family val="2"/>
    </font>
    <font>
      <u val="single"/>
      <sz val="10"/>
      <name val="Arial"/>
      <family val="2"/>
    </font>
    <font>
      <u val="single"/>
      <sz val="10"/>
      <color indexed="20"/>
      <name val="Arial"/>
      <family val="2"/>
    </font>
    <font>
      <b/>
      <sz val="16"/>
      <color indexed="56"/>
      <name val="Arial"/>
      <family val="2"/>
    </font>
    <font>
      <b/>
      <i/>
      <sz val="11"/>
      <color indexed="8"/>
      <name val="Calibri"/>
      <family val="2"/>
    </font>
    <font>
      <b/>
      <sz val="10"/>
      <color indexed="8"/>
      <name val="Arial"/>
      <family val="2"/>
    </font>
    <font>
      <i/>
      <sz val="10"/>
      <color indexed="10"/>
      <name val="Arial"/>
      <family val="2"/>
    </font>
    <font>
      <b/>
      <sz val="10"/>
      <color indexed="10"/>
      <name val="Arial"/>
      <family val="2"/>
    </font>
    <font>
      <b/>
      <u val="single"/>
      <sz val="10"/>
      <color indexed="8"/>
      <name val="Arial"/>
      <family val="0"/>
    </font>
    <font>
      <u val="single"/>
      <sz val="10"/>
      <color theme="11"/>
      <name val="Arial"/>
      <family val="2"/>
    </font>
    <font>
      <b/>
      <sz val="16"/>
      <color theme="3"/>
      <name val="Arial"/>
      <family val="2"/>
    </font>
    <font>
      <b/>
      <sz val="11"/>
      <color theme="1"/>
      <name val="Calibri"/>
      <family val="2"/>
    </font>
    <font>
      <b/>
      <i/>
      <sz val="11"/>
      <color theme="1"/>
      <name val="Calibri"/>
      <family val="2"/>
    </font>
    <font>
      <b/>
      <sz val="10"/>
      <color rgb="FF000000"/>
      <name val="Arial"/>
      <family val="2"/>
    </font>
    <font>
      <sz val="10"/>
      <color rgb="FF000000"/>
      <name val="Arial"/>
      <family val="2"/>
    </font>
    <font>
      <u val="single"/>
      <sz val="10"/>
      <color theme="10"/>
      <name val="Arial"/>
      <family val="2"/>
    </font>
    <font>
      <i/>
      <sz val="10"/>
      <color rgb="FFFF0000"/>
      <name val="Arial"/>
      <family val="2"/>
    </font>
    <font>
      <sz val="10"/>
      <color rgb="FFFF0000"/>
      <name val="Arial"/>
      <family val="2"/>
    </font>
    <font>
      <b/>
      <sz val="10"/>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theme="2"/>
        <bgColor indexed="64"/>
      </patternFill>
    </fill>
    <fill>
      <patternFill patternType="solid">
        <fgColor theme="2" tint="-0.09996999800205231"/>
        <bgColor indexed="64"/>
      </patternFill>
    </fill>
    <fill>
      <patternFill patternType="solid">
        <fgColor rgb="FF8DB3E2"/>
        <bgColor indexed="64"/>
      </patternFill>
    </fill>
    <fill>
      <patternFill patternType="solid">
        <fgColor theme="0" tint="-0.1499900072813034"/>
        <bgColor indexed="64"/>
      </patternFill>
    </fill>
    <fill>
      <patternFill patternType="solid">
        <fgColor theme="0"/>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right/>
      <top style="thin">
        <color indexed="62"/>
      </top>
      <bottom style="double">
        <color indexed="62"/>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right/>
      <top style="thin"/>
      <bottom/>
    </border>
    <border>
      <left/>
      <right/>
      <top/>
      <bottom style="thin"/>
    </border>
    <border>
      <left/>
      <right style="medium"/>
      <top/>
      <bottom style="medium"/>
    </border>
    <border>
      <left style="medium"/>
      <right style="medium"/>
      <top/>
      <bottom style="medium"/>
    </border>
    <border>
      <left style="medium"/>
      <right/>
      <top style="medium"/>
      <bottom style="medium"/>
    </border>
    <border>
      <left/>
      <right style="medium"/>
      <top style="medium"/>
      <bottom style="medium"/>
    </border>
    <border>
      <left style="thin"/>
      <right/>
      <top style="thin"/>
      <bottom style="thin"/>
    </border>
    <border>
      <left style="thin"/>
      <right style="thin"/>
      <top/>
      <bottom style="thin"/>
    </border>
    <border>
      <left style="thin"/>
      <right style="thin"/>
      <top style="thin"/>
      <bottom style="medium"/>
    </border>
    <border>
      <left/>
      <right/>
      <top style="medium"/>
      <bottom style="medium"/>
    </border>
    <border>
      <left/>
      <right style="thin"/>
      <top style="thin"/>
      <bottom/>
    </border>
    <border>
      <left style="thin"/>
      <right/>
      <top/>
      <bottom/>
    </border>
    <border>
      <left style="thin"/>
      <right/>
      <top/>
      <bottom style="thin"/>
    </border>
    <border>
      <left style="thin"/>
      <right/>
      <top style="thin"/>
      <bottom/>
    </border>
    <border>
      <left/>
      <right style="thin"/>
      <top/>
      <bottom/>
    </border>
    <border>
      <left/>
      <right style="thin"/>
      <top/>
      <bottom style="thin"/>
    </border>
    <border>
      <left/>
      <right/>
      <top style="medium"/>
      <bottom/>
    </border>
    <border>
      <left/>
      <right style="medium"/>
      <top style="medium"/>
      <bottom/>
    </border>
    <border>
      <left/>
      <right style="medium"/>
      <top/>
      <bottom/>
    </border>
    <border>
      <left/>
      <right/>
      <top/>
      <bottom style="medium"/>
    </border>
    <border>
      <left style="medium"/>
      <right/>
      <top style="medium"/>
      <bottom/>
    </border>
    <border>
      <left style="thin"/>
      <right style="thin"/>
      <top style="medium"/>
      <bottom style="thin"/>
    </border>
    <border>
      <left style="thin"/>
      <right style="medium"/>
      <top style="medium"/>
      <bottom style="thin"/>
    </border>
    <border>
      <left style="medium"/>
      <right/>
      <top/>
      <bottom/>
    </border>
    <border>
      <left style="thin"/>
      <right style="medium"/>
      <top style="thin"/>
      <bottom style="thin"/>
    </border>
    <border>
      <left style="medium"/>
      <right/>
      <top/>
      <bottom style="medium"/>
    </border>
    <border>
      <left style="thin"/>
      <right style="medium"/>
      <top style="thin"/>
      <bottom style="medium"/>
    </border>
    <border>
      <left style="thick"/>
      <right style="medium"/>
      <top style="thick"/>
      <bottom style="thick"/>
    </border>
    <border>
      <left/>
      <right style="medium"/>
      <top style="thick"/>
      <bottom style="thick"/>
    </border>
    <border>
      <left/>
      <right style="thick"/>
      <top style="thick"/>
      <bottom style="thick"/>
    </border>
    <border>
      <left style="thick"/>
      <right style="medium"/>
      <top/>
      <bottom style="medium"/>
    </border>
    <border>
      <left/>
      <right style="thick"/>
      <top/>
      <bottom style="medium"/>
    </border>
    <border>
      <left style="thick"/>
      <right style="medium"/>
      <top/>
      <bottom style="thick"/>
    </border>
    <border>
      <left/>
      <right style="medium"/>
      <top/>
      <bottom style="thick"/>
    </border>
    <border>
      <left/>
      <right style="thick"/>
      <top/>
      <bottom style="thick"/>
    </border>
    <border>
      <left/>
      <right/>
      <top style="medium"/>
      <bottom style="thin"/>
    </border>
    <border>
      <left/>
      <right style="medium"/>
      <top style="thin"/>
      <bottom style="thin"/>
    </border>
    <border>
      <left/>
      <right/>
      <top style="thin"/>
      <bottom style="medium"/>
    </border>
    <border>
      <left/>
      <right style="medium"/>
      <top style="thin"/>
      <bottom style="medium"/>
    </border>
    <border>
      <left/>
      <right style="medium"/>
      <top style="medium"/>
      <bottom style="thin"/>
    </border>
    <border>
      <left style="medium"/>
      <right style="medium"/>
      <top style="medium"/>
      <bottom/>
    </border>
    <border>
      <left style="medium"/>
      <right style="medium"/>
      <top/>
      <bottom/>
    </border>
    <border>
      <left style="thick"/>
      <right style="medium"/>
      <top style="thick"/>
      <bottom/>
    </border>
    <border>
      <left style="medium"/>
      <right style="thick"/>
      <top style="thick"/>
      <bottom/>
    </border>
    <border>
      <left style="medium"/>
      <right style="thick"/>
      <top/>
      <bottom style="thick"/>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167" fontId="8" fillId="0" borderId="0" applyFon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0" fillId="0" borderId="0">
      <alignment/>
      <protection/>
    </xf>
    <xf numFmtId="0" fontId="2" fillId="24" borderId="9" applyNumberFormat="0" applyProtection="0">
      <alignment horizontal="center" wrapText="1"/>
    </xf>
    <xf numFmtId="0" fontId="2" fillId="24" borderId="10" applyNumberFormat="0" applyAlignment="0" applyProtection="0"/>
    <xf numFmtId="0" fontId="0" fillId="25" borderId="0" applyNumberFormat="0" applyBorder="0">
      <alignment horizontal="center" wrapText="1"/>
      <protection/>
    </xf>
    <xf numFmtId="0" fontId="0" fillId="26" borderId="11" applyNumberFormat="0">
      <alignment wrapText="1"/>
      <protection/>
    </xf>
    <xf numFmtId="0" fontId="0" fillId="26" borderId="0" applyNumberFormat="0" applyBorder="0">
      <alignment wrapText="1"/>
      <protection/>
    </xf>
    <xf numFmtId="0" fontId="0" fillId="0" borderId="0" applyNumberFormat="0" applyFill="0" applyBorder="0" applyProtection="0">
      <alignment horizontal="right" wrapText="1"/>
    </xf>
    <xf numFmtId="177" fontId="0" fillId="0" borderId="0" applyFill="0" applyBorder="0" applyAlignment="0" applyProtection="0"/>
    <xf numFmtId="174" fontId="0" fillId="0" borderId="0" applyFill="0" applyBorder="0" applyAlignment="0" applyProtection="0"/>
    <xf numFmtId="178"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8"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5" fontId="10" fillId="0" borderId="0">
      <alignment horizontal="center" vertical="center"/>
      <protection/>
    </xf>
    <xf numFmtId="0" fontId="29" fillId="0" borderId="0" applyNumberFormat="0" applyFill="0" applyBorder="0" applyAlignment="0" applyProtection="0"/>
    <xf numFmtId="0" fontId="30" fillId="0" borderId="12" applyNumberFormat="0" applyFill="0" applyAlignment="0" applyProtection="0"/>
    <xf numFmtId="0" fontId="31" fillId="0" borderId="0" applyNumberFormat="0" applyFill="0" applyBorder="0" applyAlignment="0" applyProtection="0"/>
    <xf numFmtId="166" fontId="0" fillId="0" borderId="0">
      <alignment horizontal="center" vertical="center"/>
      <protection/>
    </xf>
  </cellStyleXfs>
  <cellXfs count="426">
    <xf numFmtId="0" fontId="0" fillId="0" borderId="0" xfId="0" applyAlignment="1">
      <alignment/>
    </xf>
    <xf numFmtId="0" fontId="2" fillId="0" borderId="0" xfId="0" applyFont="1" applyAlignment="1">
      <alignment/>
    </xf>
    <xf numFmtId="0" fontId="4" fillId="0" borderId="0" xfId="0" applyFont="1" applyAlignment="1">
      <alignment/>
    </xf>
    <xf numFmtId="0" fontId="2" fillId="20" borderId="13" xfId="0" applyFont="1" applyFill="1" applyBorder="1" applyAlignment="1">
      <alignment horizontal="center"/>
    </xf>
    <xf numFmtId="0" fontId="2" fillId="22" borderId="0" xfId="0" applyFont="1" applyFill="1" applyAlignment="1">
      <alignment/>
    </xf>
    <xf numFmtId="0" fontId="0" fillId="22" borderId="0" xfId="0" applyFill="1" applyAlignment="1">
      <alignment/>
    </xf>
    <xf numFmtId="0" fontId="4" fillId="22" borderId="0" xfId="0" applyFont="1" applyFill="1" applyAlignment="1">
      <alignment/>
    </xf>
    <xf numFmtId="0" fontId="3" fillId="22" borderId="0" xfId="0" applyFont="1" applyFill="1" applyAlignment="1">
      <alignment/>
    </xf>
    <xf numFmtId="0" fontId="2" fillId="20" borderId="0" xfId="0" applyFont="1" applyFill="1" applyAlignment="1">
      <alignment vertical="top" wrapText="1"/>
    </xf>
    <xf numFmtId="0" fontId="0" fillId="20" borderId="0" xfId="0" applyFill="1" applyAlignment="1">
      <alignment vertical="top" wrapText="1"/>
    </xf>
    <xf numFmtId="0" fontId="0" fillId="0" borderId="0" xfId="0" applyAlignment="1">
      <alignment vertical="top" wrapText="1"/>
    </xf>
    <xf numFmtId="0" fontId="2" fillId="0" borderId="0" xfId="0" applyFont="1" applyAlignment="1">
      <alignment vertical="top" wrapText="1"/>
    </xf>
    <xf numFmtId="0" fontId="0" fillId="0" borderId="0" xfId="0" applyFill="1" applyAlignment="1">
      <alignment vertical="top" wrapText="1"/>
    </xf>
    <xf numFmtId="0" fontId="0" fillId="21" borderId="0" xfId="0" applyFill="1" applyAlignment="1">
      <alignment vertical="top" wrapText="1"/>
    </xf>
    <xf numFmtId="0" fontId="0" fillId="0" borderId="0" xfId="0" applyFill="1" applyAlignment="1" applyProtection="1">
      <alignment vertical="top" wrapText="1"/>
      <protection locked="0"/>
    </xf>
    <xf numFmtId="0" fontId="0" fillId="0" borderId="0" xfId="0" applyFill="1" applyAlignment="1" applyProtection="1">
      <alignment/>
      <protection locked="0"/>
    </xf>
    <xf numFmtId="49" fontId="0" fillId="0" borderId="0" xfId="0" applyNumberFormat="1" applyFill="1" applyAlignment="1" applyProtection="1">
      <alignment vertical="top" wrapText="1"/>
      <protection locked="0"/>
    </xf>
    <xf numFmtId="49" fontId="0" fillId="0" borderId="0" xfId="0" applyNumberFormat="1" applyFill="1" applyAlignment="1" applyProtection="1">
      <alignment/>
      <protection locked="0"/>
    </xf>
    <xf numFmtId="0" fontId="0" fillId="0" borderId="0" xfId="0" applyFont="1" applyFill="1" applyAlignment="1" applyProtection="1">
      <alignment vertical="top" wrapText="1"/>
      <protection locked="0"/>
    </xf>
    <xf numFmtId="0" fontId="0" fillId="7" borderId="0" xfId="0" applyFill="1" applyAlignment="1" applyProtection="1">
      <alignment vertical="top" wrapText="1"/>
      <protection hidden="1"/>
    </xf>
    <xf numFmtId="0" fontId="2" fillId="7" borderId="0" xfId="0" applyFont="1" applyFill="1" applyAlignment="1" applyProtection="1">
      <alignment vertical="top" wrapText="1"/>
      <protection hidden="1"/>
    </xf>
    <xf numFmtId="0" fontId="0" fillId="27" borderId="13" xfId="0" applyFill="1" applyBorder="1" applyAlignment="1">
      <alignment/>
    </xf>
    <xf numFmtId="0" fontId="2" fillId="27" borderId="13" xfId="0" applyFont="1" applyFill="1" applyBorder="1" applyAlignment="1">
      <alignment/>
    </xf>
    <xf numFmtId="0" fontId="0" fillId="22" borderId="0" xfId="0" applyFill="1" applyAlignment="1">
      <alignment horizontal="center"/>
    </xf>
    <xf numFmtId="0" fontId="0" fillId="27" borderId="13" xfId="0" applyFill="1" applyBorder="1" applyAlignment="1">
      <alignment vertical="top" wrapText="1"/>
    </xf>
    <xf numFmtId="0" fontId="2" fillId="27" borderId="13" xfId="0" applyFont="1" applyFill="1" applyBorder="1" applyAlignment="1">
      <alignment vertical="top"/>
    </xf>
    <xf numFmtId="0" fontId="0" fillId="27" borderId="13" xfId="0" applyFill="1" applyBorder="1" applyAlignment="1">
      <alignment vertical="top"/>
    </xf>
    <xf numFmtId="0" fontId="0" fillId="27" borderId="13" xfId="0" applyFill="1" applyBorder="1" applyAlignment="1">
      <alignment horizontal="center" vertical="top"/>
    </xf>
    <xf numFmtId="0" fontId="0" fillId="22" borderId="0" xfId="0" applyFill="1" applyBorder="1" applyAlignment="1">
      <alignment vertical="top" wrapText="1"/>
    </xf>
    <xf numFmtId="0" fontId="7" fillId="22" borderId="0" xfId="0" applyFont="1" applyFill="1" applyAlignment="1">
      <alignment/>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alignment vertical="top"/>
      <protection locked="0"/>
    </xf>
    <xf numFmtId="0" fontId="0" fillId="0" borderId="13" xfId="0" applyBorder="1" applyAlignment="1" applyProtection="1">
      <alignment horizontal="center" vertical="top"/>
      <protection locked="0"/>
    </xf>
    <xf numFmtId="0" fontId="0" fillId="0" borderId="13" xfId="0" applyBorder="1" applyAlignment="1" applyProtection="1">
      <alignment vertical="top" wrapText="1"/>
      <protection locked="0"/>
    </xf>
    <xf numFmtId="0" fontId="0" fillId="8" borderId="13" xfId="0" applyFill="1" applyBorder="1" applyAlignment="1" applyProtection="1">
      <alignment vertical="top"/>
      <protection hidden="1"/>
    </xf>
    <xf numFmtId="168" fontId="0" fillId="8" borderId="13" xfId="0" applyNumberFormat="1" applyFill="1" applyBorder="1" applyAlignment="1" applyProtection="1">
      <alignment vertical="top"/>
      <protection hidden="1"/>
    </xf>
    <xf numFmtId="0" fontId="0" fillId="27" borderId="13" xfId="0" applyFill="1" applyBorder="1" applyAlignment="1" applyProtection="1">
      <alignment vertical="top"/>
      <protection hidden="1"/>
    </xf>
    <xf numFmtId="0" fontId="2" fillId="20" borderId="13" xfId="0" applyFont="1" applyFill="1" applyBorder="1" applyAlignment="1">
      <alignment horizontal="left"/>
    </xf>
    <xf numFmtId="0" fontId="0" fillId="0" borderId="13" xfId="0" applyBorder="1" applyAlignment="1" applyProtection="1">
      <alignment horizontal="lef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27" borderId="15" xfId="0" applyFill="1" applyBorder="1" applyAlignment="1">
      <alignment/>
    </xf>
    <xf numFmtId="0" fontId="0" fillId="27" borderId="16" xfId="0" applyFill="1" applyBorder="1" applyAlignment="1">
      <alignment/>
    </xf>
    <xf numFmtId="0" fontId="0" fillId="27" borderId="13" xfId="0" applyFill="1" applyBorder="1" applyAlignment="1">
      <alignment horizontal="left"/>
    </xf>
    <xf numFmtId="0" fontId="0" fillId="22" borderId="0" xfId="0" applyFont="1" applyFill="1" applyAlignment="1">
      <alignment/>
    </xf>
    <xf numFmtId="0" fontId="0" fillId="0" borderId="0" xfId="0" applyAlignment="1">
      <alignment wrapText="1"/>
    </xf>
    <xf numFmtId="0" fontId="0" fillId="0" borderId="0" xfId="0" applyFont="1" applyAlignment="1">
      <alignment wrapText="1"/>
    </xf>
    <xf numFmtId="0" fontId="0" fillId="0" borderId="0" xfId="0" applyFont="1" applyAlignment="1">
      <alignment/>
    </xf>
    <xf numFmtId="0" fontId="0" fillId="28" borderId="0" xfId="0" applyFill="1" applyAlignment="1">
      <alignment/>
    </xf>
    <xf numFmtId="0" fontId="0" fillId="0" borderId="0" xfId="0" applyFill="1" applyAlignment="1">
      <alignment/>
    </xf>
    <xf numFmtId="0" fontId="13" fillId="0" borderId="0" xfId="0" applyFont="1" applyAlignment="1">
      <alignment/>
    </xf>
    <xf numFmtId="0" fontId="2" fillId="0" borderId="0" xfId="0" applyFont="1" applyAlignment="1">
      <alignment wrapText="1"/>
    </xf>
    <xf numFmtId="0" fontId="2" fillId="0" borderId="0" xfId="0" applyFont="1" applyFill="1" applyAlignment="1">
      <alignment/>
    </xf>
    <xf numFmtId="0" fontId="0" fillId="0" borderId="0"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3" fontId="0" fillId="0" borderId="0" xfId="0" applyNumberFormat="1" applyAlignment="1">
      <alignment/>
    </xf>
    <xf numFmtId="185" fontId="0" fillId="0" borderId="13" xfId="0" applyNumberFormat="1" applyBorder="1" applyAlignment="1" applyProtection="1">
      <alignment/>
      <protection locked="0"/>
    </xf>
    <xf numFmtId="0" fontId="0" fillId="0" borderId="0" xfId="0" applyFont="1" applyFill="1" applyBorder="1" applyAlignment="1">
      <alignment/>
    </xf>
    <xf numFmtId="164" fontId="0" fillId="0" borderId="0" xfId="0" applyNumberFormat="1" applyAlignment="1">
      <alignment/>
    </xf>
    <xf numFmtId="0" fontId="0" fillId="0" borderId="13" xfId="0" applyNumberFormat="1" applyBorder="1" applyAlignment="1" applyProtection="1">
      <alignment/>
      <protection locked="0"/>
    </xf>
    <xf numFmtId="0" fontId="2" fillId="7" borderId="0" xfId="0" applyFont="1" applyFill="1" applyAlignment="1" applyProtection="1">
      <alignment horizontal="center" vertical="top" wrapText="1"/>
      <protection hidden="1"/>
    </xf>
    <xf numFmtId="0" fontId="0" fillId="27" borderId="13" xfId="0" applyFont="1" applyFill="1" applyBorder="1" applyAlignment="1">
      <alignment vertical="top"/>
    </xf>
    <xf numFmtId="0" fontId="0" fillId="0" borderId="13" xfId="0" applyFont="1" applyBorder="1" applyAlignment="1" applyProtection="1">
      <alignment vertical="top"/>
      <protection locked="0"/>
    </xf>
    <xf numFmtId="0" fontId="33" fillId="0" borderId="0" xfId="0" applyFont="1" applyAlignment="1">
      <alignment/>
    </xf>
    <xf numFmtId="0" fontId="2" fillId="8" borderId="19" xfId="0" applyFont="1" applyFill="1" applyBorder="1" applyAlignment="1">
      <alignment horizontal="center"/>
    </xf>
    <xf numFmtId="0" fontId="8" fillId="0" borderId="19" xfId="0" applyFont="1" applyBorder="1" applyAlignment="1">
      <alignment wrapText="1"/>
    </xf>
    <xf numFmtId="0" fontId="35" fillId="0" borderId="19" xfId="0" applyFont="1" applyBorder="1" applyAlignment="1">
      <alignment wrapText="1"/>
    </xf>
    <xf numFmtId="0" fontId="2" fillId="0" borderId="20" xfId="0" applyFont="1" applyBorder="1" applyAlignment="1">
      <alignment wrapText="1"/>
    </xf>
    <xf numFmtId="0" fontId="34" fillId="0" borderId="0" xfId="0" applyFont="1" applyAlignment="1">
      <alignment/>
    </xf>
    <xf numFmtId="0" fontId="0" fillId="0" borderId="0" xfId="0" applyFont="1" applyAlignment="1">
      <alignment horizontal="left" wrapText="1"/>
    </xf>
    <xf numFmtId="0" fontId="0" fillId="0" borderId="13" xfId="0" applyFont="1" applyBorder="1" applyAlignment="1">
      <alignment/>
    </xf>
    <xf numFmtId="0" fontId="0" fillId="0" borderId="13" xfId="0" applyBorder="1" applyAlignment="1">
      <alignment/>
    </xf>
    <xf numFmtId="0" fontId="0" fillId="0" borderId="13" xfId="0" applyFont="1" applyBorder="1" applyAlignment="1" applyProtection="1">
      <alignment vertical="top" wrapText="1"/>
      <protection locked="0"/>
    </xf>
    <xf numFmtId="0" fontId="36" fillId="0" borderId="0" xfId="0" applyFont="1" applyFill="1" applyAlignment="1">
      <alignment/>
    </xf>
    <xf numFmtId="0" fontId="2" fillId="29" borderId="0" xfId="0" applyFont="1" applyFill="1" applyAlignment="1">
      <alignment/>
    </xf>
    <xf numFmtId="0" fontId="53" fillId="0" borderId="0" xfId="0" applyFont="1" applyFill="1" applyAlignment="1">
      <alignment horizontal="center"/>
    </xf>
    <xf numFmtId="0" fontId="5" fillId="0" borderId="0" xfId="0" applyFont="1" applyFill="1" applyBorder="1" applyAlignment="1">
      <alignment/>
    </xf>
    <xf numFmtId="0" fontId="0" fillId="0" borderId="0" xfId="0" applyFont="1" applyFill="1" applyAlignment="1">
      <alignment/>
    </xf>
    <xf numFmtId="0" fontId="0" fillId="29" borderId="0" xfId="0" applyFill="1" applyAlignment="1">
      <alignment/>
    </xf>
    <xf numFmtId="0" fontId="0" fillId="0" borderId="13" xfId="0" applyFont="1" applyBorder="1" applyAlignment="1" applyProtection="1">
      <alignment/>
      <protection locked="0"/>
    </xf>
    <xf numFmtId="0" fontId="0" fillId="0" borderId="15" xfId="0" applyFont="1" applyBorder="1" applyAlignment="1" applyProtection="1">
      <alignment/>
      <protection locked="0"/>
    </xf>
    <xf numFmtId="0" fontId="0" fillId="22" borderId="0" xfId="0" applyFill="1" applyAlignment="1">
      <alignment horizontal="right"/>
    </xf>
    <xf numFmtId="0" fontId="0" fillId="0" borderId="21" xfId="0" applyFill="1" applyBorder="1" applyAlignment="1">
      <alignment/>
    </xf>
    <xf numFmtId="0" fontId="0" fillId="0" borderId="22" xfId="0" applyFill="1" applyBorder="1" applyAlignment="1">
      <alignment/>
    </xf>
    <xf numFmtId="0" fontId="0" fillId="0" borderId="0" xfId="0" applyFont="1" applyAlignment="1">
      <alignment/>
    </xf>
    <xf numFmtId="0" fontId="0" fillId="22" borderId="0" xfId="0" applyFont="1" applyFill="1" applyAlignment="1">
      <alignment/>
    </xf>
    <xf numFmtId="0" fontId="13" fillId="22" borderId="0" xfId="0" applyFont="1" applyFill="1" applyAlignment="1">
      <alignment horizontal="center"/>
    </xf>
    <xf numFmtId="0" fontId="0" fillId="0" borderId="0" xfId="0" applyFont="1" applyFill="1" applyAlignment="1">
      <alignment vertical="top" wrapText="1"/>
    </xf>
    <xf numFmtId="0" fontId="0" fillId="0" borderId="0" xfId="55" applyFont="1" applyFill="1" applyAlignment="1" applyProtection="1">
      <alignment vertical="top" wrapText="1"/>
      <protection locked="0"/>
    </xf>
    <xf numFmtId="0" fontId="0" fillId="0" borderId="0" xfId="0" applyFont="1" applyFill="1" applyAlignment="1" applyProtection="1">
      <alignment vertical="top" wrapText="1"/>
      <protection locked="0"/>
    </xf>
    <xf numFmtId="0" fontId="9" fillId="0" borderId="0" xfId="55" applyFill="1" applyAlignment="1" applyProtection="1">
      <alignment/>
      <protection locked="0"/>
    </xf>
    <xf numFmtId="0" fontId="9" fillId="0" borderId="0" xfId="55" applyFont="1" applyFill="1" applyAlignment="1" applyProtection="1">
      <alignment/>
      <protection locked="0"/>
    </xf>
    <xf numFmtId="0" fontId="0" fillId="30" borderId="0" xfId="0" applyFill="1" applyAlignment="1">
      <alignment vertical="top" wrapText="1"/>
    </xf>
    <xf numFmtId="0" fontId="0" fillId="30" borderId="0" xfId="0" applyFill="1" applyAlignment="1" applyProtection="1">
      <alignment vertical="top" wrapText="1"/>
      <protection locked="0"/>
    </xf>
    <xf numFmtId="0" fontId="0" fillId="30" borderId="0" xfId="0" applyFont="1" applyFill="1" applyAlignment="1" applyProtection="1">
      <alignment vertical="top" wrapText="1"/>
      <protection locked="0"/>
    </xf>
    <xf numFmtId="0" fontId="0" fillId="30" borderId="0" xfId="0" applyFill="1" applyAlignment="1" applyProtection="1">
      <alignment/>
      <protection locked="0"/>
    </xf>
    <xf numFmtId="0" fontId="13" fillId="30" borderId="0" xfId="0" applyFont="1" applyFill="1" applyAlignment="1" applyProtection="1">
      <alignment/>
      <protection locked="0"/>
    </xf>
    <xf numFmtId="49" fontId="0" fillId="30" borderId="0" xfId="0" applyNumberFormat="1" applyFill="1" applyAlignment="1" applyProtection="1">
      <alignment vertical="top" wrapText="1"/>
      <protection locked="0"/>
    </xf>
    <xf numFmtId="49" fontId="0" fillId="30" borderId="0" xfId="0" applyNumberFormat="1" applyFill="1" applyAlignment="1" applyProtection="1">
      <alignment/>
      <protection locked="0"/>
    </xf>
    <xf numFmtId="0" fontId="13" fillId="30" borderId="0" xfId="0" applyFont="1" applyFill="1" applyAlignment="1" applyProtection="1">
      <alignment vertical="top" wrapText="1"/>
      <protection locked="0"/>
    </xf>
    <xf numFmtId="0" fontId="0" fillId="30" borderId="0" xfId="0" applyFont="1" applyFill="1" applyAlignment="1" applyProtection="1">
      <alignment/>
      <protection locked="0"/>
    </xf>
    <xf numFmtId="0" fontId="11" fillId="20" borderId="0" xfId="0" applyFont="1" applyFill="1" applyAlignment="1">
      <alignment horizontal="left" vertical="top" wrapText="1"/>
    </xf>
    <xf numFmtId="0" fontId="0" fillId="20" borderId="0" xfId="0" applyFill="1" applyAlignment="1">
      <alignment horizontal="left" vertical="top" wrapText="1"/>
    </xf>
    <xf numFmtId="0" fontId="2" fillId="7" borderId="0" xfId="0" applyFont="1" applyFill="1" applyAlignment="1" applyProtection="1">
      <alignment horizontal="left" vertical="top" wrapText="1"/>
      <protection hidden="1"/>
    </xf>
    <xf numFmtId="0" fontId="0" fillId="0" borderId="0" xfId="0" applyFill="1" applyAlignment="1" applyProtection="1">
      <alignment horizontal="left" vertical="top" wrapText="1"/>
      <protection locked="0"/>
    </xf>
    <xf numFmtId="0" fontId="0" fillId="0" borderId="0" xfId="0" applyFont="1" applyFill="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0" fillId="30" borderId="0" xfId="0" applyFill="1" applyAlignment="1" applyProtection="1">
      <alignment horizontal="left" vertical="top" wrapText="1"/>
      <protection locked="0"/>
    </xf>
    <xf numFmtId="0" fontId="0" fillId="30" borderId="0" xfId="0" applyFont="1" applyFill="1"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49" fontId="0" fillId="0" borderId="0" xfId="0" applyNumberFormat="1" applyFont="1" applyFill="1" applyAlignment="1" applyProtection="1">
      <alignment horizontal="left" vertical="top" wrapText="1"/>
      <protection locked="0"/>
    </xf>
    <xf numFmtId="0" fontId="0" fillId="30" borderId="0" xfId="55" applyFont="1" applyFill="1" applyAlignment="1" applyProtection="1">
      <alignment horizontal="left" vertical="top" wrapText="1"/>
      <protection locked="0"/>
    </xf>
    <xf numFmtId="49" fontId="0" fillId="30" borderId="0" xfId="0" applyNumberFormat="1" applyFill="1" applyAlignment="1" applyProtection="1">
      <alignment horizontal="left" vertical="top" wrapText="1"/>
      <protection locked="0"/>
    </xf>
    <xf numFmtId="0" fontId="12" fillId="30" borderId="0" xfId="0" applyFont="1" applyFill="1" applyAlignment="1" applyProtection="1">
      <alignment horizontal="left"/>
      <protection locked="0"/>
    </xf>
    <xf numFmtId="0" fontId="0" fillId="0" borderId="0" xfId="55" applyFont="1" applyFill="1" applyAlignment="1" applyProtection="1">
      <alignment horizontal="left" vertical="top" wrapText="1"/>
      <protection locked="0"/>
    </xf>
    <xf numFmtId="49" fontId="0" fillId="30" borderId="0" xfId="0" applyNumberFormat="1" applyFont="1" applyFill="1" applyAlignment="1" applyProtection="1">
      <alignment horizontal="left" vertical="top" wrapText="1"/>
      <protection locked="0"/>
    </xf>
    <xf numFmtId="0" fontId="13" fillId="30" borderId="0" xfId="0" applyFont="1" applyFill="1" applyAlignment="1" applyProtection="1">
      <alignment horizontal="left" vertical="top" wrapText="1"/>
      <protection locked="0"/>
    </xf>
    <xf numFmtId="0" fontId="0" fillId="21" borderId="0" xfId="0" applyFill="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7" fillId="0" borderId="0" xfId="0" applyFont="1" applyAlignment="1">
      <alignment horizontal="left"/>
    </xf>
    <xf numFmtId="0" fontId="0" fillId="0" borderId="0" xfId="0" applyAlignment="1">
      <alignment horizontal="left"/>
    </xf>
    <xf numFmtId="0" fontId="0" fillId="29" borderId="0" xfId="0" applyFont="1" applyFill="1" applyAlignment="1">
      <alignment/>
    </xf>
    <xf numFmtId="0" fontId="2" fillId="20" borderId="23" xfId="0" applyFont="1" applyFill="1" applyBorder="1" applyAlignment="1">
      <alignment horizontal="left" vertical="center"/>
    </xf>
    <xf numFmtId="0" fontId="38" fillId="28" borderId="0" xfId="0" applyFont="1" applyFill="1" applyAlignment="1">
      <alignment/>
    </xf>
    <xf numFmtId="0" fontId="2" fillId="0" borderId="0" xfId="0" applyFont="1" applyFill="1" applyBorder="1" applyAlignment="1">
      <alignment wrapText="1"/>
    </xf>
    <xf numFmtId="0" fontId="8" fillId="0" borderId="0" xfId="0" applyFont="1" applyBorder="1" applyAlignment="1">
      <alignment wrapText="1"/>
    </xf>
    <xf numFmtId="0" fontId="38" fillId="0" borderId="0" xfId="0" applyFont="1" applyFill="1" applyAlignment="1">
      <alignment/>
    </xf>
    <xf numFmtId="0" fontId="38" fillId="0" borderId="0" xfId="0" applyFont="1" applyFill="1" applyBorder="1" applyAlignment="1">
      <alignment horizontal="left"/>
    </xf>
    <xf numFmtId="0" fontId="2" fillId="0" borderId="13" xfId="0" applyFont="1" applyBorder="1" applyAlignment="1">
      <alignment horizontal="left"/>
    </xf>
    <xf numFmtId="0" fontId="0" fillId="0" borderId="13" xfId="0" applyFont="1" applyBorder="1" applyAlignment="1">
      <alignment horizontal="left" wrapText="1"/>
    </xf>
    <xf numFmtId="0" fontId="0" fillId="0" borderId="13" xfId="0" applyFont="1" applyBorder="1" applyAlignment="1">
      <alignment horizontal="left"/>
    </xf>
    <xf numFmtId="0" fontId="0" fillId="0" borderId="13" xfId="0" applyBorder="1" applyAlignment="1">
      <alignment horizontal="left" wrapText="1"/>
    </xf>
    <xf numFmtId="0" fontId="0" fillId="0" borderId="24" xfId="0" applyBorder="1" applyAlignment="1">
      <alignment horizontal="left"/>
    </xf>
    <xf numFmtId="0" fontId="0" fillId="0" borderId="24" xfId="0" applyFont="1" applyFill="1" applyBorder="1" applyAlignment="1">
      <alignment horizontal="left" wrapText="1"/>
    </xf>
    <xf numFmtId="0" fontId="0" fillId="0" borderId="25" xfId="0" applyFont="1" applyBorder="1" applyAlignment="1">
      <alignment horizontal="left"/>
    </xf>
    <xf numFmtId="0" fontId="0" fillId="0" borderId="25" xfId="0" applyFont="1" applyBorder="1" applyAlignment="1">
      <alignment horizontal="left" wrapText="1"/>
    </xf>
    <xf numFmtId="0" fontId="0" fillId="0" borderId="0" xfId="0" applyFont="1" applyAlignment="1">
      <alignment horizontal="left"/>
    </xf>
    <xf numFmtId="0" fontId="0" fillId="0" borderId="0" xfId="0" applyFill="1" applyAlignment="1">
      <alignment horizontal="right"/>
    </xf>
    <xf numFmtId="0" fontId="0" fillId="0" borderId="0" xfId="0" applyAlignment="1">
      <alignment horizontal="right"/>
    </xf>
    <xf numFmtId="0" fontId="2" fillId="20" borderId="21" xfId="0" applyFont="1" applyFill="1" applyBorder="1" applyAlignment="1">
      <alignment horizontal="left" vertical="center"/>
    </xf>
    <xf numFmtId="0" fontId="2" fillId="20" borderId="26" xfId="0" applyFont="1" applyFill="1" applyBorder="1" applyAlignment="1">
      <alignment horizontal="left" vertical="center"/>
    </xf>
    <xf numFmtId="0" fontId="2" fillId="20" borderId="22" xfId="0" applyFont="1" applyFill="1" applyBorder="1" applyAlignment="1">
      <alignment horizontal="left" vertical="center"/>
    </xf>
    <xf numFmtId="0" fontId="2" fillId="20" borderId="23" xfId="0" applyFont="1" applyFill="1" applyBorder="1" applyAlignment="1">
      <alignment horizontal="left" vertical="center" wrapText="1"/>
    </xf>
    <xf numFmtId="0" fontId="0" fillId="30" borderId="0" xfId="0" applyNumberFormat="1" applyFont="1" applyFill="1" applyAlignment="1" applyProtection="1">
      <alignment horizontal="left" vertical="top" wrapText="1"/>
      <protection locked="0"/>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8" xfId="0" applyFont="1" applyBorder="1" applyAlignment="1">
      <alignment horizontal="center" vertical="center"/>
    </xf>
    <xf numFmtId="0" fontId="6" fillId="22" borderId="0" xfId="0" applyFont="1" applyFill="1" applyAlignment="1">
      <alignment/>
    </xf>
    <xf numFmtId="0" fontId="0" fillId="0" borderId="15" xfId="0" applyFont="1" applyBorder="1" applyAlignment="1" applyProtection="1">
      <alignment wrapText="1"/>
      <protection locked="0"/>
    </xf>
    <xf numFmtId="0" fontId="0" fillId="0" borderId="17" xfId="0" applyFont="1" applyBorder="1" applyAlignment="1">
      <alignment/>
    </xf>
    <xf numFmtId="0" fontId="0" fillId="0" borderId="27" xfId="0" applyFont="1" applyBorder="1" applyAlignment="1">
      <alignment/>
    </xf>
    <xf numFmtId="0" fontId="0" fillId="0" borderId="28" xfId="0" applyBorder="1" applyAlignment="1">
      <alignment/>
    </xf>
    <xf numFmtId="0" fontId="0" fillId="0" borderId="29" xfId="0" applyBorder="1" applyAlignment="1">
      <alignment/>
    </xf>
    <xf numFmtId="0" fontId="2" fillId="0" borderId="30" xfId="0" applyFont="1" applyBorder="1" applyAlignment="1">
      <alignment horizontal="left" vertical="center"/>
    </xf>
    <xf numFmtId="0" fontId="0" fillId="0" borderId="0" xfId="0" applyFont="1" applyBorder="1" applyAlignment="1">
      <alignment vertical="center"/>
    </xf>
    <xf numFmtId="0" fontId="0" fillId="0" borderId="31" xfId="0" applyFont="1" applyBorder="1" applyAlignment="1">
      <alignment vertical="center"/>
    </xf>
    <xf numFmtId="0" fontId="2" fillId="0" borderId="13" xfId="0" applyFont="1" applyBorder="1" applyAlignment="1">
      <alignment vertical="center"/>
    </xf>
    <xf numFmtId="0" fontId="0" fillId="0" borderId="17"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left" vertical="center"/>
    </xf>
    <xf numFmtId="0" fontId="0" fillId="0" borderId="32" xfId="0" applyBorder="1" applyAlignment="1">
      <alignment/>
    </xf>
    <xf numFmtId="0" fontId="0" fillId="0" borderId="29" xfId="0" applyFont="1" applyBorder="1" applyAlignment="1">
      <alignment/>
    </xf>
    <xf numFmtId="0" fontId="3" fillId="0" borderId="0" xfId="0" applyFont="1" applyFill="1" applyAlignment="1">
      <alignment wrapText="1"/>
    </xf>
    <xf numFmtId="0" fontId="53" fillId="0" borderId="0" xfId="0" applyFont="1" applyFill="1" applyAlignment="1">
      <alignment horizontal="center"/>
    </xf>
    <xf numFmtId="11" fontId="0" fillId="0" borderId="0" xfId="0" applyNumberFormat="1" applyAlignment="1">
      <alignment/>
    </xf>
    <xf numFmtId="0" fontId="54" fillId="0" borderId="0" xfId="0" applyFont="1" applyBorder="1" applyAlignment="1">
      <alignment vertical="center" textRotation="90"/>
    </xf>
    <xf numFmtId="0" fontId="0" fillId="0" borderId="0" xfId="0" applyAlignment="1">
      <alignment/>
    </xf>
    <xf numFmtId="0" fontId="2" fillId="0" borderId="13" xfId="0" applyFont="1" applyBorder="1" applyAlignment="1">
      <alignment horizontal="center"/>
    </xf>
    <xf numFmtId="0" fontId="2" fillId="0" borderId="13" xfId="0" applyFont="1" applyBorder="1" applyAlignment="1">
      <alignment horizontal="center" wrapText="1"/>
    </xf>
    <xf numFmtId="0" fontId="0" fillId="0" borderId="33" xfId="0" applyBorder="1" applyAlignment="1">
      <alignment wrapText="1"/>
    </xf>
    <xf numFmtId="11" fontId="0" fillId="29" borderId="33" xfId="0" applyNumberFormat="1" applyFill="1" applyBorder="1" applyAlignment="1">
      <alignment/>
    </xf>
    <xf numFmtId="11" fontId="0" fillId="0" borderId="34" xfId="0" applyNumberFormat="1" applyBorder="1" applyAlignment="1">
      <alignment/>
    </xf>
    <xf numFmtId="0" fontId="0" fillId="0" borderId="0" xfId="0" applyBorder="1" applyAlignment="1">
      <alignment wrapText="1"/>
    </xf>
    <xf numFmtId="11" fontId="0" fillId="29" borderId="0" xfId="0" applyNumberFormat="1" applyFill="1" applyBorder="1" applyAlignment="1">
      <alignment/>
    </xf>
    <xf numFmtId="11" fontId="0" fillId="0" borderId="35" xfId="0" applyNumberFormat="1" applyBorder="1" applyAlignment="1">
      <alignment/>
    </xf>
    <xf numFmtId="0" fontId="0" fillId="0" borderId="36" xfId="0" applyBorder="1" applyAlignment="1">
      <alignment wrapText="1"/>
    </xf>
    <xf numFmtId="11" fontId="0" fillId="29" borderId="36" xfId="0" applyNumberFormat="1" applyFill="1" applyBorder="1" applyAlignment="1">
      <alignment/>
    </xf>
    <xf numFmtId="11" fontId="0" fillId="0" borderId="19" xfId="0" applyNumberFormat="1" applyBorder="1" applyAlignment="1">
      <alignment/>
    </xf>
    <xf numFmtId="0" fontId="0" fillId="31" borderId="13" xfId="0" applyFill="1" applyBorder="1" applyAlignment="1">
      <alignment/>
    </xf>
    <xf numFmtId="0" fontId="55" fillId="0" borderId="13" xfId="0" applyFont="1" applyBorder="1" applyAlignment="1">
      <alignment/>
    </xf>
    <xf numFmtId="0" fontId="39" fillId="0" borderId="0" xfId="0" applyFont="1" applyBorder="1" applyAlignment="1">
      <alignment horizontal="center"/>
    </xf>
    <xf numFmtId="0" fontId="2" fillId="0" borderId="0" xfId="0" applyFont="1" applyBorder="1" applyAlignment="1">
      <alignment horizontal="center"/>
    </xf>
    <xf numFmtId="0" fontId="0" fillId="0" borderId="37" xfId="0" applyBorder="1" applyAlignment="1">
      <alignment/>
    </xf>
    <xf numFmtId="0" fontId="0" fillId="0" borderId="33" xfId="0" applyBorder="1" applyAlignment="1">
      <alignment/>
    </xf>
    <xf numFmtId="0" fontId="0" fillId="0" borderId="38" xfId="0" applyBorder="1" applyAlignment="1">
      <alignment wrapText="1"/>
    </xf>
    <xf numFmtId="0" fontId="0" fillId="0" borderId="38" xfId="0" applyBorder="1" applyAlignment="1">
      <alignment/>
    </xf>
    <xf numFmtId="0" fontId="0" fillId="0" borderId="39" xfId="0" applyBorder="1" applyAlignment="1">
      <alignment wrapText="1"/>
    </xf>
    <xf numFmtId="0" fontId="0" fillId="0" borderId="40" xfId="0" applyBorder="1" applyAlignment="1">
      <alignment/>
    </xf>
    <xf numFmtId="0" fontId="0" fillId="31" borderId="41" xfId="0" applyFill="1" applyBorder="1" applyAlignment="1">
      <alignment/>
    </xf>
    <xf numFmtId="0" fontId="0" fillId="0" borderId="41" xfId="0" applyBorder="1" applyAlignment="1">
      <alignment/>
    </xf>
    <xf numFmtId="0" fontId="55" fillId="0" borderId="40" xfId="0" applyFont="1" applyBorder="1" applyAlignment="1">
      <alignment/>
    </xf>
    <xf numFmtId="0" fontId="55" fillId="0" borderId="0" xfId="0" applyFont="1" applyBorder="1" applyAlignment="1">
      <alignment/>
    </xf>
    <xf numFmtId="0" fontId="55" fillId="0" borderId="41" xfId="0" applyFont="1" applyBorder="1" applyAlignment="1">
      <alignment/>
    </xf>
    <xf numFmtId="0" fontId="55" fillId="30" borderId="42" xfId="0" applyFont="1" applyFill="1" applyBorder="1" applyAlignment="1">
      <alignment/>
    </xf>
    <xf numFmtId="0" fontId="55" fillId="30" borderId="36" xfId="0" applyFont="1" applyFill="1" applyBorder="1" applyAlignment="1">
      <alignment/>
    </xf>
    <xf numFmtId="0" fontId="55" fillId="30" borderId="25" xfId="0" applyFont="1" applyFill="1" applyBorder="1" applyAlignment="1">
      <alignment/>
    </xf>
    <xf numFmtId="0" fontId="55" fillId="30" borderId="43" xfId="0" applyFont="1" applyFill="1" applyBorder="1" applyAlignment="1">
      <alignment/>
    </xf>
    <xf numFmtId="1" fontId="0" fillId="0" borderId="13" xfId="0" applyNumberFormat="1" applyBorder="1" applyAlignment="1">
      <alignment horizontal="center"/>
    </xf>
    <xf numFmtId="0" fontId="39" fillId="0" borderId="0" xfId="0" applyFont="1" applyBorder="1" applyAlignment="1">
      <alignment/>
    </xf>
    <xf numFmtId="0" fontId="2" fillId="0" borderId="13" xfId="0" applyFont="1" applyBorder="1" applyAlignment="1">
      <alignment horizontal="right"/>
    </xf>
    <xf numFmtId="176" fontId="0" fillId="0" borderId="0" xfId="0" applyNumberFormat="1" applyAlignment="1">
      <alignment/>
    </xf>
    <xf numFmtId="0" fontId="2" fillId="0" borderId="0" xfId="0" applyFont="1" applyAlignment="1">
      <alignment/>
    </xf>
    <xf numFmtId="164" fontId="0" fillId="0" borderId="0" xfId="0" applyNumberFormat="1" applyAlignment="1">
      <alignment/>
    </xf>
    <xf numFmtId="2" fontId="0" fillId="0" borderId="0" xfId="0" applyNumberFormat="1" applyAlignment="1">
      <alignment/>
    </xf>
    <xf numFmtId="1" fontId="0" fillId="0" borderId="0" xfId="0" applyNumberFormat="1" applyAlignment="1">
      <alignment/>
    </xf>
    <xf numFmtId="1" fontId="0" fillId="0" borderId="0" xfId="0" applyNumberFormat="1" applyFont="1" applyAlignment="1">
      <alignment/>
    </xf>
    <xf numFmtId="175" fontId="2" fillId="0" borderId="0" xfId="0" applyNumberFormat="1" applyFont="1" applyAlignment="1">
      <alignment/>
    </xf>
    <xf numFmtId="1" fontId="0" fillId="0" borderId="0" xfId="0" applyNumberFormat="1" applyAlignment="1">
      <alignment/>
    </xf>
    <xf numFmtId="191" fontId="2" fillId="0" borderId="0" xfId="0" applyNumberFormat="1" applyFont="1" applyAlignment="1">
      <alignment/>
    </xf>
    <xf numFmtId="3" fontId="12" fillId="28" borderId="0" xfId="0" applyNumberFormat="1" applyFont="1" applyFill="1" applyBorder="1" applyAlignment="1">
      <alignment horizontal="center" vertical="center"/>
    </xf>
    <xf numFmtId="0" fontId="33" fillId="32" borderId="44" xfId="0" applyFont="1" applyFill="1" applyBorder="1" applyAlignment="1">
      <alignment horizontal="center" wrapText="1"/>
    </xf>
    <xf numFmtId="0" fontId="56" fillId="32" borderId="45" xfId="0" applyFont="1" applyFill="1" applyBorder="1" applyAlignment="1">
      <alignment horizontal="center" wrapText="1"/>
    </xf>
    <xf numFmtId="0" fontId="56" fillId="32" borderId="46" xfId="0" applyFont="1" applyFill="1" applyBorder="1" applyAlignment="1">
      <alignment horizontal="center" wrapText="1"/>
    </xf>
    <xf numFmtId="0" fontId="57" fillId="0" borderId="47" xfId="0" applyFont="1" applyBorder="1" applyAlignment="1">
      <alignment horizontal="center" wrapText="1"/>
    </xf>
    <xf numFmtId="0" fontId="57" fillId="0" borderId="19" xfId="0" applyFont="1" applyBorder="1" applyAlignment="1">
      <alignment horizontal="center" wrapText="1"/>
    </xf>
    <xf numFmtId="0" fontId="57" fillId="0" borderId="48" xfId="0" applyFont="1" applyBorder="1" applyAlignment="1">
      <alignment horizontal="center" wrapText="1"/>
    </xf>
    <xf numFmtId="0" fontId="57" fillId="0" borderId="49" xfId="0" applyFont="1" applyBorder="1" applyAlignment="1">
      <alignment horizontal="center" wrapText="1"/>
    </xf>
    <xf numFmtId="0" fontId="57" fillId="0" borderId="50" xfId="0" applyFont="1" applyBorder="1" applyAlignment="1">
      <alignment horizontal="center" wrapText="1"/>
    </xf>
    <xf numFmtId="0" fontId="57" fillId="0" borderId="51" xfId="0" applyFont="1" applyBorder="1" applyAlignment="1">
      <alignment horizontal="center" wrapText="1"/>
    </xf>
    <xf numFmtId="0" fontId="56" fillId="32" borderId="49" xfId="0" applyFont="1" applyFill="1" applyBorder="1" applyAlignment="1">
      <alignment horizontal="center" wrapText="1"/>
    </xf>
    <xf numFmtId="0" fontId="56" fillId="32" borderId="50" xfId="0" applyFont="1" applyFill="1" applyBorder="1" applyAlignment="1">
      <alignment horizontal="center" wrapText="1"/>
    </xf>
    <xf numFmtId="0" fontId="56" fillId="32" borderId="51" xfId="0" applyFont="1" applyFill="1" applyBorder="1" applyAlignment="1">
      <alignment horizontal="center" wrapText="1"/>
    </xf>
    <xf numFmtId="0" fontId="56" fillId="32" borderId="35" xfId="0" applyFont="1" applyFill="1" applyBorder="1" applyAlignment="1">
      <alignment horizontal="center" wrapText="1"/>
    </xf>
    <xf numFmtId="3" fontId="57" fillId="0" borderId="19" xfId="0" applyNumberFormat="1" applyFont="1" applyBorder="1" applyAlignment="1">
      <alignment horizontal="center" wrapText="1"/>
    </xf>
    <xf numFmtId="3" fontId="57" fillId="0" borderId="48" xfId="0" applyNumberFormat="1" applyFont="1" applyBorder="1" applyAlignment="1">
      <alignment horizontal="center" wrapText="1"/>
    </xf>
    <xf numFmtId="3" fontId="57" fillId="0" borderId="51" xfId="0" applyNumberFormat="1" applyFont="1" applyBorder="1" applyAlignment="1">
      <alignment horizontal="center" wrapText="1"/>
    </xf>
    <xf numFmtId="0" fontId="56" fillId="29" borderId="49" xfId="0" applyFont="1" applyFill="1" applyBorder="1" applyAlignment="1">
      <alignment horizontal="center" wrapText="1"/>
    </xf>
    <xf numFmtId="3" fontId="57" fillId="0" borderId="50" xfId="0" applyNumberFormat="1" applyFont="1" applyBorder="1" applyAlignment="1">
      <alignment horizontal="center" wrapText="1"/>
    </xf>
    <xf numFmtId="3" fontId="56" fillId="29" borderId="51" xfId="0" applyNumberFormat="1" applyFont="1" applyFill="1" applyBorder="1" applyAlignment="1">
      <alignment horizontal="center" wrapText="1"/>
    </xf>
    <xf numFmtId="0" fontId="36" fillId="0" borderId="0" xfId="0" applyFont="1" applyFill="1" applyAlignment="1">
      <alignment horizontal="right"/>
    </xf>
    <xf numFmtId="0" fontId="13" fillId="0" borderId="0" xfId="0" applyFont="1" applyAlignment="1">
      <alignment wrapText="1"/>
    </xf>
    <xf numFmtId="11" fontId="13" fillId="0" borderId="0" xfId="0" applyNumberFormat="1" applyFont="1" applyAlignment="1">
      <alignment wrapText="1"/>
    </xf>
    <xf numFmtId="0" fontId="0" fillId="0" borderId="0" xfId="0" applyFont="1" applyFill="1" applyAlignment="1">
      <alignment wrapText="1"/>
    </xf>
    <xf numFmtId="0" fontId="13" fillId="0" borderId="0" xfId="0" applyFont="1" applyFill="1" applyAlignment="1">
      <alignment/>
    </xf>
    <xf numFmtId="0" fontId="32" fillId="0" borderId="0" xfId="0" applyFont="1" applyFill="1" applyAlignment="1">
      <alignment/>
    </xf>
    <xf numFmtId="11" fontId="0" fillId="0" borderId="13" xfId="0" applyNumberFormat="1" applyBorder="1" applyAlignment="1" applyProtection="1">
      <alignment/>
      <protection locked="0"/>
    </xf>
    <xf numFmtId="0" fontId="0" fillId="0" borderId="13" xfId="0" applyBorder="1" applyAlignment="1">
      <alignment horizontal="center"/>
    </xf>
    <xf numFmtId="15" fontId="0" fillId="0" borderId="0" xfId="0" applyNumberFormat="1" applyAlignment="1">
      <alignment/>
    </xf>
    <xf numFmtId="0" fontId="58" fillId="0" borderId="0" xfId="55" applyFont="1" applyAlignment="1" applyProtection="1">
      <alignment/>
      <protection/>
    </xf>
    <xf numFmtId="9" fontId="0" fillId="0" borderId="0" xfId="0" applyNumberFormat="1" applyBorder="1" applyAlignment="1">
      <alignment/>
    </xf>
    <xf numFmtId="0" fontId="42" fillId="0" borderId="0" xfId="0" applyFont="1" applyAlignment="1">
      <alignment/>
    </xf>
    <xf numFmtId="0" fontId="0" fillId="29" borderId="0" xfId="0" applyFill="1" applyAlignment="1">
      <alignment/>
    </xf>
    <xf numFmtId="0" fontId="0" fillId="0" borderId="13" xfId="0" applyFont="1" applyFill="1" applyBorder="1" applyAlignment="1" applyProtection="1">
      <alignment/>
      <protection locked="0"/>
    </xf>
    <xf numFmtId="0" fontId="0" fillId="0" borderId="13" xfId="0" applyFill="1" applyBorder="1" applyAlignment="1" applyProtection="1">
      <alignment/>
      <protection locked="0"/>
    </xf>
    <xf numFmtId="11" fontId="0" fillId="0" borderId="13" xfId="0" applyNumberFormat="1" applyFill="1" applyBorder="1" applyAlignment="1" applyProtection="1">
      <alignment/>
      <protection locked="0"/>
    </xf>
    <xf numFmtId="0" fontId="0" fillId="0" borderId="15" xfId="0" applyFont="1" applyFill="1" applyBorder="1" applyAlignment="1" applyProtection="1">
      <alignment/>
      <protection locked="0"/>
    </xf>
    <xf numFmtId="0" fontId="0" fillId="0" borderId="13" xfId="0" applyFont="1" applyBorder="1" applyAlignment="1" applyProtection="1">
      <alignment horizontal="left"/>
      <protection locked="0"/>
    </xf>
    <xf numFmtId="0" fontId="0" fillId="0" borderId="13" xfId="0" applyNumberFormat="1" applyBorder="1" applyAlignment="1">
      <alignment/>
    </xf>
    <xf numFmtId="185" fontId="0" fillId="0" borderId="13" xfId="0" applyNumberFormat="1" applyBorder="1" applyAlignment="1">
      <alignment/>
    </xf>
    <xf numFmtId="0" fontId="0" fillId="0" borderId="13" xfId="0" applyFont="1" applyBorder="1" applyAlignment="1" applyProtection="1">
      <alignment horizontal="right"/>
      <protection locked="0"/>
    </xf>
    <xf numFmtId="0" fontId="0" fillId="0" borderId="13" xfId="0" applyFont="1" applyBorder="1" applyAlignment="1" applyProtection="1">
      <alignment horizontal="right" vertical="top" wrapText="1"/>
      <protection locked="0"/>
    </xf>
    <xf numFmtId="0" fontId="0" fillId="0" borderId="13" xfId="0" applyFill="1" applyBorder="1" applyAlignment="1" applyProtection="1">
      <alignment vertical="top"/>
      <protection locked="0"/>
    </xf>
    <xf numFmtId="0" fontId="0" fillId="0" borderId="13" xfId="0" applyFont="1" applyFill="1" applyBorder="1" applyAlignment="1" applyProtection="1">
      <alignment vertical="top"/>
      <protection locked="0"/>
    </xf>
    <xf numFmtId="43" fontId="2" fillId="29" borderId="0" xfId="42" applyFont="1" applyFill="1" applyAlignment="1">
      <alignment/>
    </xf>
    <xf numFmtId="189" fontId="0" fillId="0" borderId="13" xfId="0" applyNumberFormat="1" applyBorder="1" applyAlignment="1" applyProtection="1">
      <alignment vertical="top"/>
      <protection locked="0"/>
    </xf>
    <xf numFmtId="189" fontId="0" fillId="0" borderId="13" xfId="0" applyNumberFormat="1" applyFont="1" applyBorder="1" applyAlignment="1" applyProtection="1">
      <alignment vertical="top"/>
      <protection locked="0"/>
    </xf>
    <xf numFmtId="191" fontId="0" fillId="8" borderId="13" xfId="0" applyNumberFormat="1" applyFill="1" applyBorder="1" applyAlignment="1" applyProtection="1">
      <alignment vertical="top"/>
      <protection hidden="1"/>
    </xf>
    <xf numFmtId="0" fontId="0" fillId="0" borderId="0" xfId="0" applyAlignment="1">
      <alignment horizontal="left" vertical="center"/>
    </xf>
    <xf numFmtId="0" fontId="0" fillId="0" borderId="13" xfId="0" applyFont="1" applyBorder="1" applyAlignment="1">
      <alignment horizontal="left" vertical="center"/>
    </xf>
    <xf numFmtId="0" fontId="0" fillId="0" borderId="13" xfId="0" applyFont="1" applyBorder="1" applyAlignment="1">
      <alignment horizontal="left" vertical="center" wrapText="1"/>
    </xf>
    <xf numFmtId="0" fontId="0"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0" fillId="0" borderId="0" xfId="0" applyFont="1" applyAlignment="1">
      <alignment horizontal="left" vertical="center" wrapText="1"/>
    </xf>
    <xf numFmtId="11" fontId="0" fillId="0" borderId="0" xfId="0" applyNumberFormat="1" applyAlignment="1">
      <alignment wrapText="1"/>
    </xf>
    <xf numFmtId="175" fontId="0" fillId="0" borderId="0" xfId="0" applyNumberFormat="1" applyAlignment="1">
      <alignment wrapText="1"/>
    </xf>
    <xf numFmtId="0" fontId="59" fillId="0" borderId="0" xfId="0" applyFont="1" applyFill="1" applyAlignment="1">
      <alignment/>
    </xf>
    <xf numFmtId="0" fontId="53" fillId="0" borderId="0" xfId="0" applyFont="1" applyFill="1" applyAlignment="1">
      <alignment horizontal="center"/>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Border="1" applyAlignment="1" applyProtection="1">
      <alignment vertical="top"/>
      <protection locked="0"/>
    </xf>
    <xf numFmtId="0" fontId="0" fillId="0" borderId="0" xfId="0" applyFill="1" applyBorder="1" applyAlignment="1" applyProtection="1">
      <alignment vertical="top"/>
      <protection locked="0"/>
    </xf>
    <xf numFmtId="10" fontId="0" fillId="0" borderId="0" xfId="0" applyNumberFormat="1" applyAlignment="1">
      <alignment/>
    </xf>
    <xf numFmtId="0" fontId="60" fillId="0" borderId="0" xfId="0" applyFont="1" applyFill="1" applyBorder="1" applyAlignment="1" applyProtection="1">
      <alignment vertical="top"/>
      <protection locked="0"/>
    </xf>
    <xf numFmtId="0" fontId="60" fillId="0" borderId="0" xfId="0" applyFont="1" applyFill="1" applyAlignment="1">
      <alignment/>
    </xf>
    <xf numFmtId="181" fontId="61" fillId="0" borderId="0" xfId="0" applyNumberFormat="1" applyFont="1" applyFill="1" applyAlignment="1">
      <alignment/>
    </xf>
    <xf numFmtId="10" fontId="61" fillId="0" borderId="0" xfId="0" applyNumberFormat="1" applyFont="1" applyFill="1" applyAlignment="1">
      <alignment/>
    </xf>
    <xf numFmtId="0" fontId="0" fillId="0" borderId="0" xfId="0" applyFont="1" applyFill="1" applyBorder="1" applyAlignment="1" applyProtection="1">
      <alignment horizontal="right" vertical="top"/>
      <protection locked="0"/>
    </xf>
    <xf numFmtId="0" fontId="2" fillId="0" borderId="0" xfId="0" applyFont="1" applyAlignment="1">
      <alignment horizontal="left" wrapText="1"/>
    </xf>
    <xf numFmtId="0" fontId="0" fillId="0" borderId="13" xfId="0" applyBorder="1" applyAlignment="1">
      <alignment horizontal="left" vertical="center"/>
    </xf>
    <xf numFmtId="0" fontId="2" fillId="29" borderId="13" xfId="0" applyFont="1" applyFill="1" applyBorder="1" applyAlignment="1">
      <alignment horizontal="left" vertical="center" wrapText="1"/>
    </xf>
    <xf numFmtId="0" fontId="44" fillId="0" borderId="0" xfId="0" applyFont="1" applyAlignment="1">
      <alignment/>
    </xf>
    <xf numFmtId="0" fontId="0" fillId="0" borderId="0" xfId="0" applyFont="1" applyAlignment="1">
      <alignment horizontal="right"/>
    </xf>
    <xf numFmtId="11" fontId="0" fillId="0" borderId="0" xfId="0" applyNumberForma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lignment wrapText="1"/>
    </xf>
    <xf numFmtId="0" fontId="44" fillId="0" borderId="0" xfId="0" applyFont="1" applyAlignment="1">
      <alignment wrapText="1"/>
    </xf>
    <xf numFmtId="0" fontId="0" fillId="29" borderId="0" xfId="0" applyFont="1" applyFill="1" applyAlignment="1">
      <alignment/>
    </xf>
    <xf numFmtId="175" fontId="0" fillId="29" borderId="0" xfId="0" applyNumberFormat="1" applyFont="1" applyFill="1" applyAlignment="1">
      <alignment wrapText="1"/>
    </xf>
    <xf numFmtId="11" fontId="0" fillId="29" borderId="0" xfId="0" applyNumberFormat="1" applyFont="1" applyFill="1" applyAlignment="1">
      <alignment/>
    </xf>
    <xf numFmtId="0" fontId="0" fillId="29" borderId="0" xfId="0" applyFont="1" applyFill="1" applyAlignment="1">
      <alignment wrapText="1"/>
    </xf>
    <xf numFmtId="164" fontId="0" fillId="0" borderId="0" xfId="0" applyNumberFormat="1" applyFont="1" applyFill="1" applyAlignment="1">
      <alignment/>
    </xf>
    <xf numFmtId="0" fontId="44" fillId="0" borderId="0" xfId="0" applyFont="1" applyAlignment="1">
      <alignment/>
    </xf>
    <xf numFmtId="0" fontId="44" fillId="0" borderId="0" xfId="0" applyFont="1" applyAlignment="1">
      <alignment horizontal="center"/>
    </xf>
    <xf numFmtId="0" fontId="0" fillId="29" borderId="0" xfId="0" applyFont="1" applyFill="1" applyAlignment="1">
      <alignment/>
    </xf>
    <xf numFmtId="0" fontId="0" fillId="0" borderId="0" xfId="0" applyFont="1" applyFill="1" applyAlignment="1">
      <alignment wrapText="1"/>
    </xf>
    <xf numFmtId="0" fontId="0" fillId="0" borderId="0" xfId="0" applyFont="1" applyFill="1" applyAlignment="1">
      <alignment/>
    </xf>
    <xf numFmtId="0" fontId="0" fillId="0" borderId="0" xfId="0" applyFont="1" applyFill="1" applyAlignment="1">
      <alignment/>
    </xf>
    <xf numFmtId="196" fontId="0" fillId="0" borderId="0" xfId="61" applyNumberFormat="1" applyFont="1" applyAlignment="1">
      <alignment/>
    </xf>
    <xf numFmtId="0" fontId="0" fillId="0" borderId="0" xfId="0" applyNumberFormat="1" applyBorder="1" applyAlignment="1" applyProtection="1">
      <alignment/>
      <protection locked="0"/>
    </xf>
    <xf numFmtId="0" fontId="0" fillId="0" borderId="15" xfId="0" applyFont="1" applyFill="1" applyBorder="1" applyAlignment="1" applyProtection="1">
      <alignment/>
      <protection locked="0"/>
    </xf>
    <xf numFmtId="0" fontId="0" fillId="0" borderId="15" xfId="0" applyFont="1" applyBorder="1" applyAlignment="1" applyProtection="1">
      <alignment/>
      <protection locked="0"/>
    </xf>
    <xf numFmtId="0" fontId="0" fillId="33" borderId="52" xfId="0" applyFont="1" applyFill="1" applyBorder="1" applyAlignment="1">
      <alignment horizontal="left" vertical="center"/>
    </xf>
    <xf numFmtId="0" fontId="0" fillId="33" borderId="18"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36" xfId="0" applyFont="1" applyFill="1" applyBorder="1" applyAlignment="1">
      <alignment horizontal="left" vertical="center"/>
    </xf>
    <xf numFmtId="0" fontId="2" fillId="0" borderId="13" xfId="0" applyFont="1" applyFill="1" applyBorder="1" applyAlignment="1">
      <alignment horizontal="left" vertical="center"/>
    </xf>
    <xf numFmtId="0" fontId="0" fillId="0" borderId="24" xfId="0" applyFont="1" applyFill="1" applyBorder="1" applyAlignment="1">
      <alignment horizontal="left"/>
    </xf>
    <xf numFmtId="0" fontId="0" fillId="0" borderId="23" xfId="0" applyFont="1" applyFill="1" applyBorder="1" applyAlignment="1" applyProtection="1">
      <alignment/>
      <protection locked="0"/>
    </xf>
    <xf numFmtId="0" fontId="0" fillId="0" borderId="13" xfId="0" applyFont="1" applyFill="1" applyBorder="1" applyAlignment="1" applyProtection="1">
      <alignment horizontal="left"/>
      <protection locked="0"/>
    </xf>
    <xf numFmtId="0" fontId="0" fillId="0" borderId="0" xfId="0" applyFont="1" applyFill="1" applyAlignment="1" applyProtection="1">
      <alignment horizontal="left" vertical="top" wrapText="1"/>
      <protection locked="0"/>
    </xf>
    <xf numFmtId="0" fontId="0" fillId="30" borderId="0" xfId="0" applyFont="1" applyFill="1" applyAlignment="1" applyProtection="1">
      <alignment horizontal="left" vertical="top" wrapText="1"/>
      <protection locked="0"/>
    </xf>
    <xf numFmtId="49" fontId="0" fillId="0" borderId="0" xfId="0" applyNumberFormat="1" applyFont="1" applyFill="1" applyAlignment="1" applyProtection="1">
      <alignment horizontal="left" vertical="top" wrapText="1"/>
      <protection locked="0"/>
    </xf>
    <xf numFmtId="49" fontId="0" fillId="30" borderId="0" xfId="0" applyNumberFormat="1" applyFont="1" applyFill="1" applyAlignment="1" applyProtection="1">
      <alignment horizontal="left" vertical="top" wrapText="1"/>
      <protection locked="0"/>
    </xf>
    <xf numFmtId="0" fontId="0" fillId="22" borderId="0" xfId="0" applyFont="1" applyFill="1" applyAlignment="1">
      <alignment horizontal="left" wrapText="1"/>
    </xf>
    <xf numFmtId="0" fontId="0" fillId="22" borderId="0" xfId="0" applyFont="1" applyFill="1" applyAlignment="1">
      <alignment horizontal="left" wrapText="1"/>
    </xf>
    <xf numFmtId="0" fontId="0" fillId="34" borderId="15" xfId="0" applyFont="1" applyFill="1" applyBorder="1" applyAlignment="1">
      <alignment horizontal="left" vertical="center" wrapText="1"/>
    </xf>
    <xf numFmtId="0" fontId="0" fillId="34" borderId="53"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53" xfId="0" applyFont="1" applyFill="1" applyBorder="1" applyAlignment="1">
      <alignment horizontal="left" vertical="center" wrapText="1"/>
    </xf>
    <xf numFmtId="0" fontId="6" fillId="22" borderId="0" xfId="0" applyFont="1" applyFill="1" applyAlignment="1">
      <alignment horizontal="center"/>
    </xf>
    <xf numFmtId="0" fontId="0" fillId="20" borderId="21" xfId="0" applyFont="1" applyFill="1" applyBorder="1" applyAlignment="1">
      <alignment horizontal="left" vertical="center" wrapText="1"/>
    </xf>
    <xf numFmtId="0" fontId="0" fillId="20" borderId="26" xfId="0" applyFont="1" applyFill="1" applyBorder="1" applyAlignment="1">
      <alignment horizontal="left" vertical="center" wrapText="1"/>
    </xf>
    <xf numFmtId="0" fontId="0" fillId="20" borderId="22" xfId="0" applyFont="1" applyFill="1" applyBorder="1" applyAlignment="1">
      <alignment horizontal="left" vertical="center" wrapText="1"/>
    </xf>
    <xf numFmtId="0" fontId="0" fillId="20" borderId="21" xfId="0" applyFont="1" applyFill="1" applyBorder="1" applyAlignment="1">
      <alignment horizontal="left" vertical="center" wrapText="1"/>
    </xf>
    <xf numFmtId="0" fontId="2" fillId="33" borderId="37" xfId="0" applyFont="1" applyFill="1" applyBorder="1" applyAlignment="1">
      <alignment horizontal="center" textRotation="45"/>
    </xf>
    <xf numFmtId="0" fontId="2" fillId="33" borderId="40" xfId="0" applyFont="1" applyFill="1" applyBorder="1" applyAlignment="1">
      <alignment horizontal="center" textRotation="45"/>
    </xf>
    <xf numFmtId="0" fontId="2" fillId="34" borderId="40" xfId="0" applyFont="1" applyFill="1" applyBorder="1" applyAlignment="1">
      <alignment horizontal="center" vertical="center" textRotation="90"/>
    </xf>
    <xf numFmtId="0" fontId="2" fillId="34" borderId="42" xfId="0" applyFont="1" applyFill="1" applyBorder="1" applyAlignment="1">
      <alignment horizontal="center" vertical="center" textRotation="90"/>
    </xf>
    <xf numFmtId="0" fontId="0" fillId="33" borderId="52" xfId="0" applyFont="1" applyFill="1" applyBorder="1" applyAlignment="1">
      <alignment horizontal="left" vertical="center" wrapText="1"/>
    </xf>
    <xf numFmtId="0" fontId="0" fillId="33" borderId="56" xfId="0" applyFont="1" applyFill="1" applyBorder="1" applyAlignment="1">
      <alignment horizontal="left" vertical="center" wrapText="1"/>
    </xf>
    <xf numFmtId="0" fontId="0" fillId="28" borderId="13" xfId="0" applyFont="1" applyFill="1" applyBorder="1" applyAlignment="1" applyProtection="1">
      <alignment horizontal="left"/>
      <protection locked="0"/>
    </xf>
    <xf numFmtId="0" fontId="0" fillId="28" borderId="13" xfId="0" applyFill="1" applyBorder="1" applyAlignment="1" applyProtection="1">
      <alignment horizontal="left"/>
      <protection locked="0"/>
    </xf>
    <xf numFmtId="0" fontId="2" fillId="20" borderId="13" xfId="0" applyFont="1" applyFill="1" applyBorder="1" applyAlignment="1">
      <alignment horizontal="left"/>
    </xf>
    <xf numFmtId="0" fontId="0" fillId="0" borderId="23"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23" xfId="0" applyBorder="1" applyAlignment="1" applyProtection="1">
      <alignment horizontal="left"/>
      <protection locked="0"/>
    </xf>
    <xf numFmtId="0" fontId="2" fillId="20" borderId="23" xfId="0" applyFont="1" applyFill="1" applyBorder="1" applyAlignment="1">
      <alignment horizontal="left"/>
    </xf>
    <xf numFmtId="0" fontId="2" fillId="20" borderId="16" xfId="0" applyFont="1" applyFill="1" applyBorder="1" applyAlignment="1">
      <alignment horizontal="left"/>
    </xf>
    <xf numFmtId="0" fontId="0" fillId="0" borderId="23"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3" fillId="0" borderId="21" xfId="0" applyFont="1" applyBorder="1" applyAlignment="1">
      <alignment horizontal="center"/>
    </xf>
    <xf numFmtId="0" fontId="3" fillId="0" borderId="26" xfId="0" applyFont="1" applyBorder="1" applyAlignment="1">
      <alignment horizontal="center"/>
    </xf>
    <xf numFmtId="0" fontId="3" fillId="0" borderId="22" xfId="0" applyFont="1" applyBorder="1" applyAlignment="1">
      <alignment horizontal="center"/>
    </xf>
    <xf numFmtId="0" fontId="0" fillId="0" borderId="13" xfId="0" applyBorder="1" applyAlignment="1" applyProtection="1">
      <alignment horizontal="center"/>
      <protection locked="0"/>
    </xf>
    <xf numFmtId="0" fontId="0" fillId="0" borderId="13" xfId="0" applyBorder="1" applyAlignment="1" applyProtection="1">
      <alignment horizontal="left"/>
      <protection locked="0"/>
    </xf>
    <xf numFmtId="0" fontId="2" fillId="20" borderId="23" xfId="0" applyFont="1" applyFill="1" applyBorder="1" applyAlignment="1">
      <alignment horizontal="center"/>
    </xf>
    <xf numFmtId="0" fontId="2" fillId="20" borderId="15" xfId="0" applyFont="1" applyFill="1" applyBorder="1" applyAlignment="1">
      <alignment horizontal="center"/>
    </xf>
    <xf numFmtId="0" fontId="2" fillId="20" borderId="16" xfId="0" applyFont="1" applyFill="1" applyBorder="1" applyAlignment="1">
      <alignment horizontal="center"/>
    </xf>
    <xf numFmtId="0" fontId="2" fillId="20" borderId="23" xfId="0" applyFont="1" applyFill="1" applyBorder="1" applyAlignment="1">
      <alignment horizontal="left" vertical="center"/>
    </xf>
    <xf numFmtId="0" fontId="2" fillId="20" borderId="16" xfId="0" applyFont="1" applyFill="1" applyBorder="1" applyAlignment="1">
      <alignment horizontal="left" vertical="center"/>
    </xf>
    <xf numFmtId="0" fontId="2" fillId="20" borderId="23" xfId="0" applyFont="1" applyFill="1" applyBorder="1" applyAlignment="1">
      <alignment horizontal="left" vertical="top"/>
    </xf>
    <xf numFmtId="0" fontId="2" fillId="20" borderId="16" xfId="0" applyFont="1" applyFill="1" applyBorder="1" applyAlignment="1">
      <alignment horizontal="left" vertical="top"/>
    </xf>
    <xf numFmtId="0" fontId="0" fillId="0" borderId="29" xfId="0" applyFont="1" applyBorder="1" applyAlignment="1">
      <alignment horizontal="left" vertical="center" wrapText="1"/>
    </xf>
    <xf numFmtId="0" fontId="0" fillId="0" borderId="18" xfId="0" applyFont="1" applyBorder="1" applyAlignment="1">
      <alignment horizontal="left" vertical="center" wrapText="1"/>
    </xf>
    <xf numFmtId="0" fontId="0" fillId="0" borderId="32" xfId="0" applyFont="1" applyBorder="1" applyAlignment="1">
      <alignment horizontal="left" vertical="center" wrapText="1"/>
    </xf>
    <xf numFmtId="0" fontId="32" fillId="0" borderId="23" xfId="0" applyFont="1" applyBorder="1" applyAlignment="1">
      <alignment horizontal="left" vertical="center" wrapText="1"/>
    </xf>
    <xf numFmtId="0" fontId="32" fillId="0" borderId="15" xfId="0" applyFont="1" applyBorder="1" applyAlignment="1">
      <alignment horizontal="left" vertical="center" wrapText="1"/>
    </xf>
    <xf numFmtId="0" fontId="32" fillId="0" borderId="16" xfId="0" applyFont="1" applyBorder="1" applyAlignment="1">
      <alignment horizontal="left" vertical="center" wrapText="1"/>
    </xf>
    <xf numFmtId="0" fontId="2" fillId="0" borderId="3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0"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0" xfId="0" applyFont="1" applyBorder="1" applyAlignment="1">
      <alignment horizontal="left" vertical="center" wrapText="1"/>
    </xf>
    <xf numFmtId="0" fontId="2" fillId="0" borderId="31" xfId="0" applyFont="1" applyBorder="1" applyAlignment="1">
      <alignment horizontal="left" vertical="center" wrapText="1"/>
    </xf>
    <xf numFmtId="0" fontId="0" fillId="0" borderId="28" xfId="0" applyFont="1" applyBorder="1" applyAlignment="1">
      <alignment horizontal="left" vertical="center" wrapText="1"/>
    </xf>
    <xf numFmtId="0" fontId="0" fillId="0" borderId="0" xfId="0" applyFont="1" applyBorder="1" applyAlignment="1">
      <alignment horizontal="left" vertical="center" wrapText="1"/>
    </xf>
    <xf numFmtId="0" fontId="0" fillId="0" borderId="31" xfId="0" applyFont="1" applyBorder="1" applyAlignment="1">
      <alignment horizontal="left" vertical="center" wrapText="1"/>
    </xf>
    <xf numFmtId="0" fontId="0" fillId="0" borderId="29"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9" xfId="0" applyFont="1" applyBorder="1" applyAlignment="1">
      <alignment horizontal="left" wrapText="1"/>
    </xf>
    <xf numFmtId="0" fontId="0" fillId="0" borderId="18" xfId="0" applyFont="1" applyBorder="1" applyAlignment="1">
      <alignment horizontal="left" wrapText="1"/>
    </xf>
    <xf numFmtId="0" fontId="8" fillId="0" borderId="21" xfId="0" applyFont="1" applyBorder="1" applyAlignment="1">
      <alignment wrapText="1"/>
    </xf>
    <xf numFmtId="0" fontId="8" fillId="0" borderId="22" xfId="0" applyFont="1" applyBorder="1" applyAlignment="1">
      <alignment wrapText="1"/>
    </xf>
    <xf numFmtId="0" fontId="8" fillId="0" borderId="26" xfId="0" applyFont="1" applyBorder="1" applyAlignment="1">
      <alignment wrapText="1"/>
    </xf>
    <xf numFmtId="0" fontId="35" fillId="0" borderId="21" xfId="0" applyFont="1" applyBorder="1" applyAlignment="1">
      <alignment wrapText="1"/>
    </xf>
    <xf numFmtId="0" fontId="35" fillId="0" borderId="22" xfId="0" applyFont="1" applyBorder="1" applyAlignment="1">
      <alignment wrapText="1"/>
    </xf>
    <xf numFmtId="0" fontId="35" fillId="0" borderId="21" xfId="0" applyFont="1" applyBorder="1" applyAlignment="1">
      <alignment/>
    </xf>
    <xf numFmtId="0" fontId="35" fillId="0" borderId="22" xfId="0" applyFont="1" applyBorder="1" applyAlignment="1">
      <alignment/>
    </xf>
    <xf numFmtId="0" fontId="2" fillId="0" borderId="23"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0" xfId="0" applyFont="1" applyAlignment="1">
      <alignment horizontal="left" wrapText="1"/>
    </xf>
    <xf numFmtId="0" fontId="2" fillId="0" borderId="13" xfId="0" applyFont="1" applyFill="1" applyBorder="1" applyAlignment="1">
      <alignment horizontal="left" vertical="center" wrapText="1"/>
    </xf>
    <xf numFmtId="0" fontId="2" fillId="8" borderId="57" xfId="0" applyFont="1" applyFill="1" applyBorder="1" applyAlignment="1">
      <alignment horizontal="center" wrapText="1"/>
    </xf>
    <xf numFmtId="0" fontId="2" fillId="8" borderId="20" xfId="0" applyFont="1" applyFill="1" applyBorder="1" applyAlignment="1">
      <alignment horizontal="center" wrapText="1"/>
    </xf>
    <xf numFmtId="0" fontId="2" fillId="8" borderId="21" xfId="0" applyFont="1" applyFill="1" applyBorder="1" applyAlignment="1">
      <alignment horizontal="center"/>
    </xf>
    <xf numFmtId="0" fontId="2" fillId="8" borderId="26" xfId="0" applyFont="1" applyFill="1" applyBorder="1" applyAlignment="1">
      <alignment horizontal="center"/>
    </xf>
    <xf numFmtId="0" fontId="2" fillId="8" borderId="22" xfId="0" applyFont="1" applyFill="1" applyBorder="1" applyAlignment="1">
      <alignment horizontal="center"/>
    </xf>
    <xf numFmtId="0" fontId="2" fillId="0" borderId="57" xfId="0" applyFont="1" applyBorder="1" applyAlignment="1">
      <alignment horizontal="center" wrapText="1"/>
    </xf>
    <xf numFmtId="0" fontId="2" fillId="0" borderId="58" xfId="0" applyFont="1" applyBorder="1" applyAlignment="1">
      <alignment horizontal="center" wrapText="1"/>
    </xf>
    <xf numFmtId="0" fontId="2" fillId="0" borderId="20" xfId="0" applyFont="1" applyBorder="1" applyAlignment="1">
      <alignment horizontal="center" wrapText="1"/>
    </xf>
    <xf numFmtId="0" fontId="53" fillId="0" borderId="0" xfId="0" applyFont="1" applyFill="1" applyAlignment="1">
      <alignment horizontal="center"/>
    </xf>
    <xf numFmtId="0" fontId="54" fillId="0" borderId="37" xfId="0" applyFont="1" applyBorder="1" applyAlignment="1">
      <alignment horizontal="center" vertical="center" textRotation="90"/>
    </xf>
    <xf numFmtId="0" fontId="54" fillId="0" borderId="40" xfId="0" applyFont="1" applyBorder="1" applyAlignment="1">
      <alignment horizontal="center" vertical="center" textRotation="90"/>
    </xf>
    <xf numFmtId="0" fontId="54" fillId="0" borderId="42" xfId="0" applyFont="1" applyBorder="1" applyAlignment="1">
      <alignment horizontal="center" vertical="center" textRotation="90"/>
    </xf>
    <xf numFmtId="0" fontId="39" fillId="0" borderId="23" xfId="0" applyFont="1" applyBorder="1" applyAlignment="1">
      <alignment horizontal="center"/>
    </xf>
    <xf numFmtId="0" fontId="39" fillId="0" borderId="16" xfId="0" applyFont="1" applyBorder="1" applyAlignment="1">
      <alignment horizontal="center"/>
    </xf>
    <xf numFmtId="0" fontId="2" fillId="0" borderId="0" xfId="0" applyFont="1" applyAlignment="1">
      <alignment horizontal="center" wrapText="1"/>
    </xf>
    <xf numFmtId="0" fontId="2" fillId="0" borderId="0" xfId="0" applyFont="1" applyAlignment="1">
      <alignment wrapText="1"/>
    </xf>
    <xf numFmtId="0" fontId="0" fillId="0" borderId="28" xfId="0" applyFont="1" applyBorder="1" applyAlignment="1">
      <alignment horizontal="left" wrapText="1"/>
    </xf>
    <xf numFmtId="0" fontId="0" fillId="0" borderId="0" xfId="0" applyFont="1" applyBorder="1" applyAlignment="1">
      <alignment horizontal="left" wrapText="1"/>
    </xf>
    <xf numFmtId="0" fontId="0" fillId="0" borderId="0" xfId="0" applyAlignment="1">
      <alignment horizontal="center" wrapText="1"/>
    </xf>
    <xf numFmtId="0" fontId="0" fillId="0" borderId="0" xfId="0" applyFont="1" applyAlignment="1">
      <alignment wrapText="1"/>
    </xf>
    <xf numFmtId="0" fontId="14" fillId="0" borderId="0" xfId="0" applyFont="1" applyAlignment="1">
      <alignment horizontal="center"/>
    </xf>
    <xf numFmtId="0" fontId="56" fillId="32" borderId="59" xfId="0" applyFont="1" applyFill="1" applyBorder="1" applyAlignment="1">
      <alignment horizontal="center" wrapText="1"/>
    </xf>
    <xf numFmtId="0" fontId="56" fillId="32" borderId="49" xfId="0" applyFont="1" applyFill="1" applyBorder="1" applyAlignment="1">
      <alignment horizontal="center" wrapText="1"/>
    </xf>
    <xf numFmtId="0" fontId="56" fillId="32" borderId="60" xfId="0" applyFont="1" applyFill="1" applyBorder="1" applyAlignment="1">
      <alignment horizontal="center" wrapText="1"/>
    </xf>
    <xf numFmtId="0" fontId="56" fillId="32" borderId="61" xfId="0" applyFont="1" applyFill="1" applyBorder="1" applyAlignment="1">
      <alignment horizontal="center" wrapText="1"/>
    </xf>
    <xf numFmtId="0" fontId="0" fillId="0" borderId="15" xfId="0" applyFont="1" applyBorder="1" applyAlignment="1">
      <alignment horizontal="left" vertical="center"/>
    </xf>
    <xf numFmtId="0" fontId="0" fillId="0" borderId="15" xfId="0" applyNumberFormat="1" applyFont="1" applyFill="1" applyBorder="1" applyAlignment="1">
      <alignment horizontal="left" vertical="center" wrapText="1"/>
    </xf>
    <xf numFmtId="0" fontId="0" fillId="0" borderId="15" xfId="0" applyFont="1" applyBorder="1" applyAlignment="1">
      <alignment horizontal="left" vertical="center" wrapText="1"/>
    </xf>
    <xf numFmtId="0" fontId="2" fillId="0" borderId="0" xfId="0" applyFont="1" applyAlignment="1">
      <alignment horizont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Standard_Bsp-Datenaustausch_S&amp;U" xfId="62"/>
    <cellStyle name="Style 21" xfId="63"/>
    <cellStyle name="Style 22" xfId="64"/>
    <cellStyle name="Style 23" xfId="65"/>
    <cellStyle name="Style 24" xfId="66"/>
    <cellStyle name="Style 25" xfId="67"/>
    <cellStyle name="Style 26" xfId="68"/>
    <cellStyle name="Style 27" xfId="69"/>
    <cellStyle name="Style 28" xfId="70"/>
    <cellStyle name="Style 29" xfId="71"/>
    <cellStyle name="Style 30" xfId="72"/>
    <cellStyle name="Style 31" xfId="73"/>
    <cellStyle name="Style 32" xfId="74"/>
    <cellStyle name="Style 33" xfId="75"/>
    <cellStyle name="Style 34" xfId="76"/>
    <cellStyle name="Style 35" xfId="77"/>
    <cellStyle name="Style 36" xfId="78"/>
    <cellStyle name="text" xfId="79"/>
    <cellStyle name="Title" xfId="80"/>
    <cellStyle name="Total" xfId="81"/>
    <cellStyle name="Warning Text" xfId="82"/>
    <cellStyle name="wissenschaft-Eingabe" xfId="83"/>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33</xdr:row>
      <xdr:rowOff>38100</xdr:rowOff>
    </xdr:from>
    <xdr:to>
      <xdr:col>13</xdr:col>
      <xdr:colOff>0</xdr:colOff>
      <xdr:row>47</xdr:row>
      <xdr:rowOff>19050</xdr:rowOff>
    </xdr:to>
    <xdr:sp>
      <xdr:nvSpPr>
        <xdr:cNvPr id="1" name="TextBox 1"/>
        <xdr:cNvSpPr txBox="1">
          <a:spLocks noChangeArrowheads="1"/>
        </xdr:cNvSpPr>
      </xdr:nvSpPr>
      <xdr:spPr>
        <a:xfrm>
          <a:off x="752475" y="76104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742950</xdr:colOff>
      <xdr:row>8</xdr:row>
      <xdr:rowOff>142875</xdr:rowOff>
    </xdr:from>
    <xdr:to>
      <xdr:col>13</xdr:col>
      <xdr:colOff>1314450</xdr:colOff>
      <xdr:row>17</xdr:row>
      <xdr:rowOff>152400</xdr:rowOff>
    </xdr:to>
    <xdr:sp>
      <xdr:nvSpPr>
        <xdr:cNvPr id="1" name="Text Box 13"/>
        <xdr:cNvSpPr txBox="1">
          <a:spLocks noChangeArrowheads="1"/>
        </xdr:cNvSpPr>
      </xdr:nvSpPr>
      <xdr:spPr>
        <a:xfrm>
          <a:off x="8134350" y="1762125"/>
          <a:ext cx="6610350" cy="15335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 of Southern Appalachia Bituminous Coal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surface mining of Southern Appalachia bituminous coal. This unit process uses the unit process for the mining of Powder River Basin subbituminous coal and assumes that all inputs and emissions are similar. These include: electricity use, diesel fuel use, water use, water discharge, air quality emissions including particulate matter and coal mine methane, and water quality emissions. For additional documentation, please see the associated DF sheet for this unit process.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bituminous coal)</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4</xdr:col>
      <xdr:colOff>457200</xdr:colOff>
      <xdr:row>9</xdr:row>
      <xdr:rowOff>85725</xdr:rowOff>
    </xdr:to>
    <xdr:sp>
      <xdr:nvSpPr>
        <xdr:cNvPr id="1" name="TextBox 1"/>
        <xdr:cNvSpPr txBox="1">
          <a:spLocks noChangeArrowheads="1"/>
        </xdr:cNvSpPr>
      </xdr:nvSpPr>
      <xdr:spPr>
        <a:xfrm>
          <a:off x="0" y="533400"/>
          <a:ext cx="6010275" cy="1200150"/>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The purpose of this sheet is to document the emission significance check that was performed due to insufficient DQI score for ammonia</a:t>
          </a:r>
          <a:r>
            <a:rPr lang="en-US" cap="none" sz="1000" b="0" i="0" u="none" baseline="0">
              <a:solidFill>
                <a:srgbClr val="000000"/>
              </a:solidFill>
              <a:latin typeface="Arial"/>
              <a:ea typeface="Arial"/>
              <a:cs typeface="Arial"/>
            </a:rPr>
            <a:t> emissions data. A significant emission is defined within the boundary of this study as one that is at least 1 percent of total emissions for the relevant emissions category. Here, the relevant emissions category is comprised of all air emissions, excluding greenhouse gases. As shown below, these calculations indicate that the ammonia emissions to air comprise a less than significant fraction of the total relevant air emissions. Therefore, no further  documentation or analysis is required.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UP%20Documentation%20Packages\03b_NETL%20Approved\DS_Stage1_O_CoalMine_I6_2009.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pa.gov/ttn/chief/net/2005inventory.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AA506"/>
  <sheetViews>
    <sheetView zoomScalePageLayoutView="0" workbookViewId="0" topLeftCell="A1">
      <selection activeCell="A1" sqref="A1:N1"/>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329" t="s">
        <v>891</v>
      </c>
      <c r="B1" s="329"/>
      <c r="C1" s="329"/>
      <c r="D1" s="329"/>
      <c r="E1" s="329"/>
      <c r="F1" s="329"/>
      <c r="G1" s="329"/>
      <c r="H1" s="329"/>
      <c r="I1" s="329"/>
      <c r="J1" s="329"/>
      <c r="K1" s="329"/>
      <c r="L1" s="329"/>
      <c r="M1" s="329"/>
      <c r="N1" s="329"/>
      <c r="O1" s="151"/>
    </row>
    <row r="2" spans="1:15" ht="21" thickBot="1">
      <c r="A2" s="329" t="s">
        <v>210</v>
      </c>
      <c r="B2" s="329"/>
      <c r="C2" s="329"/>
      <c r="D2" s="329"/>
      <c r="E2" s="329"/>
      <c r="F2" s="329"/>
      <c r="G2" s="329"/>
      <c r="H2" s="329"/>
      <c r="I2" s="329"/>
      <c r="J2" s="329"/>
      <c r="K2" s="329"/>
      <c r="L2" s="329"/>
      <c r="M2" s="329"/>
      <c r="N2" s="329"/>
      <c r="O2" s="151"/>
    </row>
    <row r="3" spans="2:15" ht="12.75" customHeight="1" thickBot="1">
      <c r="B3" s="5"/>
      <c r="C3" s="126" t="s">
        <v>279</v>
      </c>
      <c r="D3" s="143" t="str">
        <f>'Data Summary'!D4</f>
        <v>Surface Mine, Southern Appalachia Bituminous Coal, Operations</v>
      </c>
      <c r="E3" s="144"/>
      <c r="F3" s="144"/>
      <c r="G3" s="144"/>
      <c r="H3" s="144"/>
      <c r="I3" s="144"/>
      <c r="J3" s="144"/>
      <c r="K3" s="144"/>
      <c r="L3" s="144"/>
      <c r="M3" s="145"/>
      <c r="N3" s="5"/>
      <c r="O3" s="5"/>
    </row>
    <row r="4" spans="2:15" ht="42.75" customHeight="1" thickBot="1">
      <c r="B4" s="5"/>
      <c r="C4" s="126" t="s">
        <v>280</v>
      </c>
      <c r="D4" s="333" t="str">
        <f>'Data Summary'!D6</f>
        <v>Based on a compilation of mines, a surface mine for Southern Appalachia bituminous coal, producing ~6 billion kg of coal per year. Assumes 24.9 scf/short ton coal mine CH4 (CMM) emissions, adjustable CMM capture rates; LHV=12760 Btu/lb.</v>
      </c>
      <c r="E4" s="331"/>
      <c r="F4" s="331"/>
      <c r="G4" s="331"/>
      <c r="H4" s="331"/>
      <c r="I4" s="331"/>
      <c r="J4" s="331"/>
      <c r="K4" s="331"/>
      <c r="L4" s="331"/>
      <c r="M4" s="332"/>
      <c r="N4" s="5"/>
      <c r="O4" s="5"/>
    </row>
    <row r="5" spans="2:15" ht="39" customHeight="1" thickBot="1">
      <c r="B5" s="5"/>
      <c r="C5" s="126" t="s">
        <v>281</v>
      </c>
      <c r="D5" s="330" t="s">
        <v>899</v>
      </c>
      <c r="E5" s="331"/>
      <c r="F5" s="331"/>
      <c r="G5" s="331"/>
      <c r="H5" s="331"/>
      <c r="I5" s="331"/>
      <c r="J5" s="331"/>
      <c r="K5" s="331"/>
      <c r="L5" s="331"/>
      <c r="M5" s="332"/>
      <c r="N5" s="5"/>
      <c r="O5" s="5"/>
    </row>
    <row r="6" spans="2:15" ht="56.25" customHeight="1" thickBot="1">
      <c r="B6" s="5"/>
      <c r="C6" s="146" t="s">
        <v>284</v>
      </c>
      <c r="D6" s="333" t="s">
        <v>290</v>
      </c>
      <c r="E6" s="331"/>
      <c r="F6" s="331"/>
      <c r="G6" s="331"/>
      <c r="H6" s="331"/>
      <c r="I6" s="331"/>
      <c r="J6" s="331"/>
      <c r="K6" s="331"/>
      <c r="L6" s="331"/>
      <c r="M6" s="332"/>
      <c r="N6" s="5"/>
      <c r="O6" s="5"/>
    </row>
    <row r="7" spans="2:15" ht="12.75">
      <c r="B7" s="4" t="s">
        <v>211</v>
      </c>
      <c r="C7" s="4"/>
      <c r="D7" s="4"/>
      <c r="E7" s="4"/>
      <c r="F7" s="4"/>
      <c r="G7" s="4"/>
      <c r="H7" s="4"/>
      <c r="I7" s="4"/>
      <c r="J7" s="4"/>
      <c r="K7" s="4"/>
      <c r="L7" s="4"/>
      <c r="M7" s="4"/>
      <c r="N7" s="5"/>
      <c r="O7" s="5"/>
    </row>
    <row r="8" spans="2:15" ht="13.5" thickBot="1">
      <c r="B8" s="4"/>
      <c r="C8" s="4" t="s">
        <v>212</v>
      </c>
      <c r="D8" s="4" t="s">
        <v>206</v>
      </c>
      <c r="E8" s="4"/>
      <c r="F8" s="4"/>
      <c r="G8" s="4"/>
      <c r="H8" s="4"/>
      <c r="I8" s="4"/>
      <c r="J8" s="4"/>
      <c r="K8" s="4"/>
      <c r="L8" s="4"/>
      <c r="M8" s="4"/>
      <c r="N8" s="5"/>
      <c r="O8" s="5"/>
    </row>
    <row r="9" spans="1:27" s="50" customFormat="1" ht="15" customHeight="1">
      <c r="A9" s="5"/>
      <c r="B9" s="334" t="s">
        <v>219</v>
      </c>
      <c r="C9" s="306" t="s">
        <v>213</v>
      </c>
      <c r="D9" s="338" t="s">
        <v>289</v>
      </c>
      <c r="E9" s="338"/>
      <c r="F9" s="338"/>
      <c r="G9" s="338"/>
      <c r="H9" s="338"/>
      <c r="I9" s="338"/>
      <c r="J9" s="338"/>
      <c r="K9" s="338"/>
      <c r="L9" s="338"/>
      <c r="M9" s="339"/>
      <c r="N9" s="5"/>
      <c r="O9" s="5"/>
      <c r="P9" s="5"/>
      <c r="Q9" s="5"/>
      <c r="R9" s="5"/>
      <c r="S9" s="5"/>
      <c r="T9" s="5"/>
      <c r="U9" s="5"/>
      <c r="V9" s="5"/>
      <c r="W9" s="5"/>
      <c r="X9" s="5"/>
      <c r="Y9" s="5"/>
      <c r="Z9" s="5"/>
      <c r="AA9" s="5"/>
    </row>
    <row r="10" spans="1:27" s="50" customFormat="1" ht="15" customHeight="1">
      <c r="A10" s="5"/>
      <c r="B10" s="335"/>
      <c r="C10" s="307" t="s">
        <v>214</v>
      </c>
      <c r="D10" s="327" t="s">
        <v>278</v>
      </c>
      <c r="E10" s="327"/>
      <c r="F10" s="327"/>
      <c r="G10" s="327"/>
      <c r="H10" s="327"/>
      <c r="I10" s="327"/>
      <c r="J10" s="327"/>
      <c r="K10" s="327"/>
      <c r="L10" s="327"/>
      <c r="M10" s="328"/>
      <c r="N10" s="5"/>
      <c r="O10" s="5"/>
      <c r="P10" s="5"/>
      <c r="Q10" s="5"/>
      <c r="R10" s="5"/>
      <c r="S10" s="5"/>
      <c r="T10" s="5"/>
      <c r="U10" s="5"/>
      <c r="V10" s="5"/>
      <c r="W10" s="5"/>
      <c r="X10" s="5"/>
      <c r="Y10" s="5"/>
      <c r="Z10" s="5"/>
      <c r="AA10" s="5"/>
    </row>
    <row r="11" spans="1:27" s="50" customFormat="1" ht="15" customHeight="1">
      <c r="A11" s="5"/>
      <c r="B11" s="335"/>
      <c r="C11" s="307" t="s">
        <v>47</v>
      </c>
      <c r="D11" s="327" t="s">
        <v>216</v>
      </c>
      <c r="E11" s="327"/>
      <c r="F11" s="327"/>
      <c r="G11" s="327"/>
      <c r="H11" s="327"/>
      <c r="I11" s="327"/>
      <c r="J11" s="327"/>
      <c r="K11" s="327"/>
      <c r="L11" s="327"/>
      <c r="M11" s="328"/>
      <c r="N11" s="5"/>
      <c r="O11" s="5"/>
      <c r="P11" s="5"/>
      <c r="Q11" s="5"/>
      <c r="R11" s="5"/>
      <c r="S11" s="5"/>
      <c r="T11" s="5"/>
      <c r="U11" s="5"/>
      <c r="V11" s="5"/>
      <c r="W11" s="5"/>
      <c r="X11" s="5"/>
      <c r="Y11" s="5"/>
      <c r="Z11" s="5"/>
      <c r="AA11" s="5"/>
    </row>
    <row r="12" spans="2:15" ht="15" customHeight="1">
      <c r="B12" s="336" t="s">
        <v>202</v>
      </c>
      <c r="C12" s="308" t="s">
        <v>795</v>
      </c>
      <c r="D12" s="321" t="s">
        <v>809</v>
      </c>
      <c r="E12" s="321"/>
      <c r="F12" s="321"/>
      <c r="G12" s="321"/>
      <c r="H12" s="321"/>
      <c r="I12" s="321"/>
      <c r="J12" s="321"/>
      <c r="K12" s="321"/>
      <c r="L12" s="321"/>
      <c r="M12" s="322"/>
      <c r="N12" s="5"/>
      <c r="O12" s="5"/>
    </row>
    <row r="13" spans="2:15" ht="15" customHeight="1">
      <c r="B13" s="336"/>
      <c r="C13" s="308" t="s">
        <v>796</v>
      </c>
      <c r="D13" s="321" t="s">
        <v>808</v>
      </c>
      <c r="E13" s="321"/>
      <c r="F13" s="321"/>
      <c r="G13" s="321"/>
      <c r="H13" s="321"/>
      <c r="I13" s="321"/>
      <c r="J13" s="321"/>
      <c r="K13" s="321"/>
      <c r="L13" s="321"/>
      <c r="M13" s="322"/>
      <c r="N13" s="5"/>
      <c r="O13" s="5"/>
    </row>
    <row r="14" spans="2:15" ht="15" customHeight="1">
      <c r="B14" s="336"/>
      <c r="C14" s="308" t="s">
        <v>182</v>
      </c>
      <c r="D14" s="321" t="s">
        <v>803</v>
      </c>
      <c r="E14" s="321"/>
      <c r="F14" s="321"/>
      <c r="G14" s="321"/>
      <c r="H14" s="321"/>
      <c r="I14" s="321"/>
      <c r="J14" s="321"/>
      <c r="K14" s="321"/>
      <c r="L14" s="321"/>
      <c r="M14" s="322"/>
      <c r="N14" s="5"/>
      <c r="O14" s="5"/>
    </row>
    <row r="15" spans="2:15" ht="15" customHeight="1">
      <c r="B15" s="336"/>
      <c r="C15" s="308" t="s">
        <v>797</v>
      </c>
      <c r="D15" s="321" t="s">
        <v>804</v>
      </c>
      <c r="E15" s="321"/>
      <c r="F15" s="321"/>
      <c r="G15" s="321"/>
      <c r="H15" s="321"/>
      <c r="I15" s="321"/>
      <c r="J15" s="321"/>
      <c r="K15" s="321"/>
      <c r="L15" s="321"/>
      <c r="M15" s="322"/>
      <c r="N15" s="5"/>
      <c r="O15" s="5"/>
    </row>
    <row r="16" spans="2:15" ht="15" customHeight="1">
      <c r="B16" s="336"/>
      <c r="C16" s="308" t="s">
        <v>798</v>
      </c>
      <c r="D16" s="321" t="s">
        <v>805</v>
      </c>
      <c r="E16" s="321"/>
      <c r="F16" s="321"/>
      <c r="G16" s="321"/>
      <c r="H16" s="321"/>
      <c r="I16" s="321"/>
      <c r="J16" s="321"/>
      <c r="K16" s="321"/>
      <c r="L16" s="321"/>
      <c r="M16" s="322"/>
      <c r="N16" s="5"/>
      <c r="O16" s="5"/>
    </row>
    <row r="17" spans="2:15" ht="15" customHeight="1">
      <c r="B17" s="336"/>
      <c r="C17" s="308" t="s">
        <v>799</v>
      </c>
      <c r="D17" s="321" t="s">
        <v>217</v>
      </c>
      <c r="E17" s="321"/>
      <c r="F17" s="321"/>
      <c r="G17" s="321"/>
      <c r="H17" s="321"/>
      <c r="I17" s="321"/>
      <c r="J17" s="321"/>
      <c r="K17" s="321"/>
      <c r="L17" s="321"/>
      <c r="M17" s="322"/>
      <c r="N17" s="5"/>
      <c r="O17" s="5"/>
    </row>
    <row r="18" spans="2:15" ht="15" customHeight="1">
      <c r="B18" s="336"/>
      <c r="C18" s="308" t="s">
        <v>800</v>
      </c>
      <c r="D18" s="321" t="s">
        <v>806</v>
      </c>
      <c r="E18" s="321"/>
      <c r="F18" s="321"/>
      <c r="G18" s="321"/>
      <c r="H18" s="321"/>
      <c r="I18" s="321"/>
      <c r="J18" s="321"/>
      <c r="K18" s="321"/>
      <c r="L18" s="321"/>
      <c r="M18" s="322"/>
      <c r="N18" s="5"/>
      <c r="O18" s="5"/>
    </row>
    <row r="19" spans="2:15" ht="15" customHeight="1">
      <c r="B19" s="336"/>
      <c r="C19" s="308" t="s">
        <v>801</v>
      </c>
      <c r="D19" s="323" t="s">
        <v>900</v>
      </c>
      <c r="E19" s="321"/>
      <c r="F19" s="321"/>
      <c r="G19" s="321"/>
      <c r="H19" s="321"/>
      <c r="I19" s="321"/>
      <c r="J19" s="321"/>
      <c r="K19" s="321"/>
      <c r="L19" s="321"/>
      <c r="M19" s="322"/>
      <c r="N19" s="5"/>
      <c r="O19" s="5"/>
    </row>
    <row r="20" spans="2:15" ht="15" customHeight="1">
      <c r="B20" s="336"/>
      <c r="C20" s="308" t="s">
        <v>802</v>
      </c>
      <c r="D20" s="321" t="s">
        <v>807</v>
      </c>
      <c r="E20" s="321"/>
      <c r="F20" s="321"/>
      <c r="G20" s="321"/>
      <c r="H20" s="321"/>
      <c r="I20" s="321"/>
      <c r="J20" s="321"/>
      <c r="K20" s="321"/>
      <c r="L20" s="321"/>
      <c r="M20" s="322"/>
      <c r="N20" s="5"/>
      <c r="O20" s="5"/>
    </row>
    <row r="21" spans="2:15" ht="15" customHeight="1">
      <c r="B21" s="336"/>
      <c r="C21" s="308" t="s">
        <v>215</v>
      </c>
      <c r="D21" s="321" t="s">
        <v>218</v>
      </c>
      <c r="E21" s="321"/>
      <c r="F21" s="321"/>
      <c r="G21" s="321"/>
      <c r="H21" s="321"/>
      <c r="I21" s="321"/>
      <c r="J21" s="321"/>
      <c r="K21" s="321"/>
      <c r="L21" s="321"/>
      <c r="M21" s="322"/>
      <c r="N21" s="5"/>
      <c r="O21" s="5"/>
    </row>
    <row r="22" spans="2:15" ht="15" customHeight="1">
      <c r="B22" s="336"/>
      <c r="C22" s="309" t="s">
        <v>204</v>
      </c>
      <c r="D22" s="323" t="s">
        <v>204</v>
      </c>
      <c r="E22" s="321"/>
      <c r="F22" s="321"/>
      <c r="G22" s="321"/>
      <c r="H22" s="321"/>
      <c r="I22" s="321"/>
      <c r="J22" s="321"/>
      <c r="K22" s="321"/>
      <c r="L22" s="321"/>
      <c r="M22" s="322"/>
      <c r="N22" s="5"/>
      <c r="O22" s="5"/>
    </row>
    <row r="23" spans="2:15" ht="15" customHeight="1" thickBot="1">
      <c r="B23" s="337"/>
      <c r="C23" s="310" t="s">
        <v>889</v>
      </c>
      <c r="D23" s="324" t="s">
        <v>890</v>
      </c>
      <c r="E23" s="325"/>
      <c r="F23" s="325"/>
      <c r="G23" s="325"/>
      <c r="H23" s="325"/>
      <c r="I23" s="325"/>
      <c r="J23" s="325"/>
      <c r="K23" s="325"/>
      <c r="L23" s="325"/>
      <c r="M23" s="326"/>
      <c r="N23" s="5"/>
      <c r="O23" s="5"/>
    </row>
    <row r="24" spans="2:15" ht="12.75">
      <c r="B24" s="4"/>
      <c r="C24" s="4"/>
      <c r="D24" s="4"/>
      <c r="E24" s="4"/>
      <c r="F24" s="4"/>
      <c r="G24" s="4"/>
      <c r="H24" s="4"/>
      <c r="I24" s="4"/>
      <c r="J24" s="4"/>
      <c r="K24" s="4"/>
      <c r="L24" s="4"/>
      <c r="M24" s="4"/>
      <c r="N24" s="5"/>
      <c r="O24" s="5"/>
    </row>
    <row r="25" spans="2:15" ht="12.75">
      <c r="B25" s="4" t="s">
        <v>237</v>
      </c>
      <c r="C25" s="4"/>
      <c r="D25" s="4"/>
      <c r="E25" s="4"/>
      <c r="F25" s="4"/>
      <c r="G25" s="4"/>
      <c r="H25" s="4"/>
      <c r="I25" s="4"/>
      <c r="J25" s="4"/>
      <c r="K25" s="4"/>
      <c r="L25" s="4"/>
      <c r="M25" s="4"/>
      <c r="N25" s="5"/>
      <c r="O25" s="5"/>
    </row>
    <row r="26" spans="2:15" ht="38.25" customHeight="1">
      <c r="B26" s="4"/>
      <c r="C26" s="319" t="s">
        <v>901</v>
      </c>
      <c r="D26" s="320"/>
      <c r="E26" s="320"/>
      <c r="F26" s="320"/>
      <c r="G26" s="320"/>
      <c r="H26" s="320"/>
      <c r="I26" s="320"/>
      <c r="J26" s="320"/>
      <c r="K26" s="320"/>
      <c r="L26" s="320"/>
      <c r="M26" s="320"/>
      <c r="N26" s="5"/>
      <c r="O26" s="5"/>
    </row>
    <row r="27" spans="2:15" ht="12.75">
      <c r="B27" s="4" t="s">
        <v>238</v>
      </c>
      <c r="C27" s="4"/>
      <c r="D27" s="4"/>
      <c r="E27" s="4"/>
      <c r="F27" s="4"/>
      <c r="G27" s="88"/>
      <c r="H27" s="88"/>
      <c r="I27" s="88"/>
      <c r="J27" s="88"/>
      <c r="K27" s="88"/>
      <c r="L27" s="88"/>
      <c r="M27" s="88"/>
      <c r="N27" s="5"/>
      <c r="O27" s="5"/>
    </row>
    <row r="28" spans="2:15" ht="12.75">
      <c r="B28" s="88"/>
      <c r="C28" s="88" t="s">
        <v>239</v>
      </c>
      <c r="D28" s="88"/>
      <c r="E28" s="125" t="s">
        <v>240</v>
      </c>
      <c r="F28" s="81"/>
      <c r="G28" s="88" t="s">
        <v>241</v>
      </c>
      <c r="H28" s="88"/>
      <c r="I28" s="88"/>
      <c r="J28" s="88"/>
      <c r="K28" s="88"/>
      <c r="L28" s="88"/>
      <c r="M28" s="88"/>
      <c r="N28" s="5"/>
      <c r="O28" s="5"/>
    </row>
    <row r="29" spans="2:15" ht="12.75">
      <c r="B29" s="88"/>
      <c r="C29" s="88" t="s">
        <v>282</v>
      </c>
      <c r="D29" s="88"/>
      <c r="E29" s="88"/>
      <c r="F29" s="88"/>
      <c r="G29" s="88"/>
      <c r="H29" s="88"/>
      <c r="I29" s="88"/>
      <c r="J29" s="88"/>
      <c r="K29" s="88"/>
      <c r="L29" s="88"/>
      <c r="M29" s="88"/>
      <c r="N29" s="5"/>
      <c r="O29" s="5"/>
    </row>
    <row r="30" spans="2:15" ht="12.75">
      <c r="B30" s="88"/>
      <c r="C30" s="88" t="s">
        <v>275</v>
      </c>
      <c r="D30" s="88"/>
      <c r="E30" s="88"/>
      <c r="F30" s="88"/>
      <c r="G30" s="88"/>
      <c r="H30" s="88"/>
      <c r="I30" s="88"/>
      <c r="J30" s="88"/>
      <c r="K30" s="88"/>
      <c r="L30" s="88"/>
      <c r="M30" s="88"/>
      <c r="N30" s="5"/>
      <c r="O30" s="5"/>
    </row>
    <row r="31" spans="2:15" ht="12.75">
      <c r="B31" s="88"/>
      <c r="C31" s="88" t="s">
        <v>283</v>
      </c>
      <c r="D31" s="88"/>
      <c r="E31" s="88"/>
      <c r="F31" s="88"/>
      <c r="G31" s="88"/>
      <c r="H31" s="88"/>
      <c r="I31" s="88"/>
      <c r="J31" s="88"/>
      <c r="K31" s="88"/>
      <c r="L31" s="88"/>
      <c r="M31" s="88"/>
      <c r="N31" s="88"/>
      <c r="O31" s="88"/>
    </row>
    <row r="32" spans="2:15" ht="12.75">
      <c r="B32" s="88"/>
      <c r="C32" s="88"/>
      <c r="D32" s="88"/>
      <c r="E32" s="88"/>
      <c r="F32" s="88"/>
      <c r="G32" s="88"/>
      <c r="H32" s="88"/>
      <c r="I32" s="88"/>
      <c r="J32" s="88"/>
      <c r="K32" s="88"/>
      <c r="L32" s="88"/>
      <c r="M32" s="88"/>
      <c r="N32" s="88"/>
      <c r="O32" s="88"/>
    </row>
    <row r="33" spans="2:15" ht="12.75">
      <c r="B33" s="4" t="s">
        <v>286</v>
      </c>
      <c r="C33" s="88"/>
      <c r="D33" s="88"/>
      <c r="E33" s="88"/>
      <c r="F33" s="88"/>
      <c r="G33" s="88"/>
      <c r="H33" s="88"/>
      <c r="I33" s="88"/>
      <c r="J33" s="88"/>
      <c r="K33" s="88"/>
      <c r="L33" s="88"/>
      <c r="M33" s="88"/>
      <c r="N33" s="88"/>
      <c r="O33" s="88"/>
    </row>
    <row r="34" spans="2:15" ht="12.75">
      <c r="B34" s="88"/>
      <c r="C34" s="88"/>
      <c r="D34" s="88"/>
      <c r="E34" s="88"/>
      <c r="F34" s="88"/>
      <c r="G34" s="88"/>
      <c r="H34" s="88"/>
      <c r="I34" s="88"/>
      <c r="J34" s="88"/>
      <c r="K34" s="88"/>
      <c r="L34" s="88"/>
      <c r="M34" s="88"/>
      <c r="N34" s="88"/>
      <c r="O34" s="88"/>
    </row>
    <row r="35" spans="2:15" ht="12.75">
      <c r="B35" s="88"/>
      <c r="C35" s="88"/>
      <c r="D35" s="88"/>
      <c r="E35" s="88"/>
      <c r="F35" s="88"/>
      <c r="G35" s="88"/>
      <c r="H35" s="88"/>
      <c r="I35" s="88"/>
      <c r="J35" s="88"/>
      <c r="K35" s="88"/>
      <c r="L35" s="88"/>
      <c r="M35" s="88"/>
      <c r="N35" s="88"/>
      <c r="O35" s="88"/>
    </row>
    <row r="36" spans="2:15" ht="12.75">
      <c r="B36" s="88"/>
      <c r="C36" s="88"/>
      <c r="D36" s="88"/>
      <c r="E36" s="88"/>
      <c r="F36" s="88"/>
      <c r="G36" s="88"/>
      <c r="H36" s="88"/>
      <c r="I36" s="88"/>
      <c r="J36" s="88"/>
      <c r="K36" s="88"/>
      <c r="L36" s="88"/>
      <c r="M36" s="88"/>
      <c r="N36" s="88"/>
      <c r="O36" s="88"/>
    </row>
    <row r="37" spans="2:15" ht="12.75">
      <c r="B37" s="88"/>
      <c r="C37" s="88"/>
      <c r="D37" s="88"/>
      <c r="E37" s="88"/>
      <c r="F37" s="88"/>
      <c r="G37" s="88"/>
      <c r="H37" s="88"/>
      <c r="I37" s="88"/>
      <c r="J37" s="88"/>
      <c r="K37" s="88"/>
      <c r="L37" s="88"/>
      <c r="M37" s="88"/>
      <c r="N37" s="88"/>
      <c r="O37" s="88"/>
    </row>
    <row r="38" spans="2:15" ht="12.75">
      <c r="B38" s="88"/>
      <c r="C38" s="88"/>
      <c r="D38" s="88"/>
      <c r="E38" s="88"/>
      <c r="F38" s="88"/>
      <c r="G38" s="88"/>
      <c r="H38" s="88"/>
      <c r="I38" s="88"/>
      <c r="J38" s="88"/>
      <c r="K38" s="88"/>
      <c r="L38" s="88"/>
      <c r="M38" s="88"/>
      <c r="N38" s="88"/>
      <c r="O38" s="88"/>
    </row>
    <row r="39" spans="2:15" ht="12.75">
      <c r="B39" s="88"/>
      <c r="C39" s="88"/>
      <c r="D39" s="88"/>
      <c r="E39" s="88"/>
      <c r="F39" s="88"/>
      <c r="G39" s="88"/>
      <c r="H39" s="88"/>
      <c r="I39" s="88"/>
      <c r="J39" s="88"/>
      <c r="K39" s="88"/>
      <c r="L39" s="88"/>
      <c r="M39" s="88"/>
      <c r="N39" s="88"/>
      <c r="O39" s="88"/>
    </row>
    <row r="40" spans="2:15" ht="12.75">
      <c r="B40" s="88"/>
      <c r="C40" s="88"/>
      <c r="D40" s="88"/>
      <c r="E40" s="88"/>
      <c r="F40" s="88"/>
      <c r="G40" s="88"/>
      <c r="H40" s="88"/>
      <c r="I40" s="88"/>
      <c r="J40" s="88"/>
      <c r="K40" s="88"/>
      <c r="L40" s="88"/>
      <c r="M40" s="88"/>
      <c r="N40" s="88"/>
      <c r="O40" s="88"/>
    </row>
    <row r="41" spans="2:15" ht="12.75">
      <c r="B41" s="88"/>
      <c r="C41" s="88"/>
      <c r="D41" s="88"/>
      <c r="E41" s="88"/>
      <c r="F41" s="88"/>
      <c r="G41" s="88"/>
      <c r="H41" s="88"/>
      <c r="I41" s="88"/>
      <c r="J41" s="88"/>
      <c r="K41" s="88"/>
      <c r="L41" s="88"/>
      <c r="M41" s="88"/>
      <c r="N41" s="88"/>
      <c r="O41" s="88"/>
    </row>
    <row r="42" spans="2:15" ht="12.75">
      <c r="B42" s="88"/>
      <c r="C42" s="88"/>
      <c r="D42" s="88"/>
      <c r="E42" s="88"/>
      <c r="F42" s="88"/>
      <c r="G42" s="88"/>
      <c r="H42" s="88"/>
      <c r="I42" s="88"/>
      <c r="J42" s="88"/>
      <c r="K42" s="88"/>
      <c r="L42" s="88"/>
      <c r="M42" s="88"/>
      <c r="N42" s="88"/>
      <c r="O42" s="88"/>
    </row>
    <row r="43" spans="2:15" ht="12.75">
      <c r="B43" s="88"/>
      <c r="C43" s="88"/>
      <c r="D43" s="88"/>
      <c r="E43" s="88"/>
      <c r="F43" s="88"/>
      <c r="G43" s="88"/>
      <c r="H43" s="88"/>
      <c r="I43" s="88"/>
      <c r="J43" s="88"/>
      <c r="K43" s="88"/>
      <c r="L43" s="88"/>
      <c r="M43" s="88"/>
      <c r="N43" s="88"/>
      <c r="O43" s="88"/>
    </row>
    <row r="44" spans="2:15" ht="12.75">
      <c r="B44" s="88"/>
      <c r="C44" s="88"/>
      <c r="D44" s="88"/>
      <c r="E44" s="88"/>
      <c r="F44" s="88"/>
      <c r="G44" s="88"/>
      <c r="H44" s="88"/>
      <c r="I44" s="88"/>
      <c r="J44" s="88"/>
      <c r="K44" s="88"/>
      <c r="L44" s="88"/>
      <c r="M44" s="88"/>
      <c r="N44" s="88"/>
      <c r="O44" s="88"/>
    </row>
    <row r="45" spans="2:15" ht="12.75">
      <c r="B45" s="88"/>
      <c r="C45" s="88"/>
      <c r="D45" s="88"/>
      <c r="E45" s="88"/>
      <c r="F45" s="88"/>
      <c r="G45" s="88"/>
      <c r="H45" s="88"/>
      <c r="I45" s="88"/>
      <c r="J45" s="88"/>
      <c r="K45" s="88"/>
      <c r="L45" s="88"/>
      <c r="M45" s="88"/>
      <c r="N45" s="88"/>
      <c r="O45" s="88"/>
    </row>
    <row r="46" spans="2:15" ht="12.75">
      <c r="B46" s="88"/>
      <c r="C46" s="88"/>
      <c r="D46" s="88"/>
      <c r="E46" s="88"/>
      <c r="F46" s="88"/>
      <c r="G46" s="88"/>
      <c r="H46" s="88"/>
      <c r="I46" s="88"/>
      <c r="J46" s="88"/>
      <c r="K46" s="88"/>
      <c r="L46" s="88"/>
      <c r="M46" s="88"/>
      <c r="N46" s="88"/>
      <c r="O46" s="88"/>
    </row>
    <row r="47" spans="2:15" ht="12.75">
      <c r="B47" s="88"/>
      <c r="C47" s="88"/>
      <c r="D47" s="88"/>
      <c r="E47" s="88"/>
      <c r="F47" s="88"/>
      <c r="G47" s="88"/>
      <c r="H47" s="88"/>
      <c r="I47" s="88"/>
      <c r="J47" s="88"/>
      <c r="K47" s="88"/>
      <c r="L47" s="88"/>
      <c r="M47" s="88"/>
      <c r="N47" s="88"/>
      <c r="O47" s="88"/>
    </row>
    <row r="48" spans="2:15" ht="12.75">
      <c r="B48" s="88"/>
      <c r="C48" s="88"/>
      <c r="D48" s="88"/>
      <c r="E48" s="88"/>
      <c r="F48" s="88"/>
      <c r="G48" s="88"/>
      <c r="H48" s="88"/>
      <c r="I48" s="88"/>
      <c r="J48" s="88"/>
      <c r="K48" s="88"/>
      <c r="L48" s="88"/>
      <c r="M48" s="88"/>
      <c r="N48" s="88"/>
      <c r="O48" s="88"/>
    </row>
    <row r="49" spans="2:15" ht="12.75">
      <c r="B49" s="88"/>
      <c r="C49" s="88"/>
      <c r="D49" s="88"/>
      <c r="E49" s="88"/>
      <c r="F49" s="88"/>
      <c r="G49" s="88"/>
      <c r="H49" s="88"/>
      <c r="I49" s="88"/>
      <c r="J49" s="88"/>
      <c r="K49" s="88"/>
      <c r="L49" s="88"/>
      <c r="M49" s="88"/>
      <c r="N49" s="88"/>
      <c r="O49" s="88"/>
    </row>
    <row r="50" spans="2:15" ht="12.75">
      <c r="B50" s="88"/>
      <c r="C50" s="88"/>
      <c r="D50" s="88"/>
      <c r="E50" s="88"/>
      <c r="F50" s="88"/>
      <c r="G50" s="88"/>
      <c r="H50" s="88"/>
      <c r="I50" s="88"/>
      <c r="J50" s="88"/>
      <c r="K50" s="88"/>
      <c r="L50" s="88"/>
      <c r="M50" s="88"/>
      <c r="N50" s="88"/>
      <c r="O50" s="88"/>
    </row>
    <row r="51" spans="2:15" ht="12.75">
      <c r="B51" s="88"/>
      <c r="C51" s="88"/>
      <c r="D51" s="88"/>
      <c r="E51" s="88"/>
      <c r="F51" s="88"/>
      <c r="G51" s="88"/>
      <c r="H51" s="88"/>
      <c r="I51" s="88"/>
      <c r="J51" s="88"/>
      <c r="K51" s="88"/>
      <c r="L51" s="88"/>
      <c r="M51" s="88"/>
      <c r="N51" s="88"/>
      <c r="O51" s="88"/>
    </row>
    <row r="52" spans="2:15" ht="12.75">
      <c r="B52" s="88"/>
      <c r="C52" s="88"/>
      <c r="D52" s="88"/>
      <c r="E52" s="88"/>
      <c r="F52" s="88"/>
      <c r="G52" s="88"/>
      <c r="H52" s="88"/>
      <c r="I52" s="88"/>
      <c r="J52" s="88"/>
      <c r="K52" s="88"/>
      <c r="L52" s="88"/>
      <c r="M52" s="88"/>
      <c r="N52" s="88"/>
      <c r="O52" s="88"/>
    </row>
    <row r="53" spans="2:15" ht="12.75">
      <c r="B53" s="88"/>
      <c r="C53" s="88"/>
      <c r="D53" s="88"/>
      <c r="E53" s="88"/>
      <c r="F53" s="88"/>
      <c r="G53" s="88"/>
      <c r="H53" s="88"/>
      <c r="I53" s="88"/>
      <c r="J53" s="88"/>
      <c r="K53" s="88"/>
      <c r="L53" s="88"/>
      <c r="M53" s="88"/>
      <c r="N53" s="88"/>
      <c r="O53" s="88"/>
    </row>
    <row r="54" spans="2:15" ht="12.75">
      <c r="B54" s="88"/>
      <c r="C54" s="88"/>
      <c r="D54" s="88"/>
      <c r="E54" s="88"/>
      <c r="F54" s="88"/>
      <c r="G54" s="88"/>
      <c r="H54" s="88"/>
      <c r="I54" s="88"/>
      <c r="J54" s="88"/>
      <c r="K54" s="88"/>
      <c r="L54" s="88"/>
      <c r="M54" s="88"/>
      <c r="N54" s="88"/>
      <c r="O54" s="88"/>
    </row>
    <row r="55" spans="2:15" ht="12.75">
      <c r="B55" s="88"/>
      <c r="C55" s="88"/>
      <c r="D55" s="88"/>
      <c r="E55" s="88"/>
      <c r="F55" s="88"/>
      <c r="G55" s="88"/>
      <c r="H55" s="88"/>
      <c r="I55" s="88"/>
      <c r="J55" s="88"/>
      <c r="K55" s="88"/>
      <c r="L55" s="88"/>
      <c r="M55" s="88"/>
      <c r="N55" s="88"/>
      <c r="O55" s="88"/>
    </row>
    <row r="56" spans="2:15" ht="12.75">
      <c r="B56" s="88"/>
      <c r="C56" s="88"/>
      <c r="D56" s="88"/>
      <c r="E56" s="88"/>
      <c r="F56" s="88"/>
      <c r="G56" s="88"/>
      <c r="H56" s="88"/>
      <c r="I56" s="88"/>
      <c r="J56" s="88"/>
      <c r="K56" s="88"/>
      <c r="L56" s="88"/>
      <c r="M56" s="88"/>
      <c r="N56" s="88"/>
      <c r="O56" s="88"/>
    </row>
    <row r="57" spans="2:15" ht="12.75">
      <c r="B57" s="88"/>
      <c r="C57" s="88"/>
      <c r="D57" s="88"/>
      <c r="E57" s="88"/>
      <c r="F57" s="88"/>
      <c r="G57" s="88"/>
      <c r="H57" s="88"/>
      <c r="I57" s="88"/>
      <c r="J57" s="88"/>
      <c r="K57" s="88"/>
      <c r="L57" s="88"/>
      <c r="M57" s="88"/>
      <c r="N57" s="88"/>
      <c r="O57" s="88"/>
    </row>
    <row r="58" spans="2:15" ht="12.75">
      <c r="B58" s="88"/>
      <c r="C58" s="88"/>
      <c r="D58" s="88"/>
      <c r="E58" s="88"/>
      <c r="F58" s="88"/>
      <c r="G58" s="88"/>
      <c r="H58" s="88"/>
      <c r="I58" s="88"/>
      <c r="J58" s="88"/>
      <c r="K58" s="88"/>
      <c r="L58" s="88"/>
      <c r="M58" s="88"/>
      <c r="N58" s="88"/>
      <c r="O58" s="88"/>
    </row>
    <row r="59" spans="2:15" ht="12.75">
      <c r="B59" s="88"/>
      <c r="C59" s="88"/>
      <c r="D59" s="88"/>
      <c r="E59" s="88"/>
      <c r="F59" s="88"/>
      <c r="G59" s="88"/>
      <c r="H59" s="88"/>
      <c r="I59" s="88"/>
      <c r="J59" s="88"/>
      <c r="K59" s="88"/>
      <c r="L59" s="88"/>
      <c r="M59" s="88"/>
      <c r="N59" s="88"/>
      <c r="O59" s="88"/>
    </row>
    <row r="60" spans="2:15" ht="12.75">
      <c r="B60" s="88"/>
      <c r="C60" s="88"/>
      <c r="D60" s="88"/>
      <c r="E60" s="88"/>
      <c r="F60" s="88"/>
      <c r="G60" s="88"/>
      <c r="H60" s="88"/>
      <c r="I60" s="88"/>
      <c r="J60" s="88"/>
      <c r="K60" s="88"/>
      <c r="L60" s="88"/>
      <c r="M60" s="88"/>
      <c r="N60" s="88"/>
      <c r="O60" s="88"/>
    </row>
    <row r="61" spans="2:15" ht="12.75">
      <c r="B61" s="88"/>
      <c r="C61" s="88"/>
      <c r="D61" s="88"/>
      <c r="E61" s="88"/>
      <c r="F61" s="88"/>
      <c r="G61" s="88"/>
      <c r="H61" s="88"/>
      <c r="I61" s="88"/>
      <c r="J61" s="88"/>
      <c r="K61" s="88"/>
      <c r="L61" s="88"/>
      <c r="M61" s="88"/>
      <c r="N61" s="88"/>
      <c r="O61" s="88"/>
    </row>
    <row r="62" spans="2:15" ht="12.75">
      <c r="B62" s="88"/>
      <c r="C62" s="88"/>
      <c r="D62" s="88"/>
      <c r="E62" s="88"/>
      <c r="F62" s="88"/>
      <c r="G62" s="88"/>
      <c r="H62" s="88"/>
      <c r="I62" s="88"/>
      <c r="J62" s="88"/>
      <c r="K62" s="88"/>
      <c r="L62" s="88"/>
      <c r="M62" s="88"/>
      <c r="N62" s="88"/>
      <c r="O62" s="88"/>
    </row>
    <row r="63" spans="2:15" ht="12.75">
      <c r="B63" s="88"/>
      <c r="C63" s="88"/>
      <c r="D63" s="88"/>
      <c r="E63" s="88"/>
      <c r="F63" s="88"/>
      <c r="G63" s="88"/>
      <c r="H63" s="88"/>
      <c r="I63" s="88"/>
      <c r="J63" s="88"/>
      <c r="K63" s="88"/>
      <c r="L63" s="88"/>
      <c r="M63" s="88"/>
      <c r="N63" s="88"/>
      <c r="O63" s="88"/>
    </row>
    <row r="64" spans="2:15" ht="12.75">
      <c r="B64" s="88"/>
      <c r="C64" s="88"/>
      <c r="D64" s="88"/>
      <c r="E64" s="88"/>
      <c r="F64" s="88"/>
      <c r="G64" s="88"/>
      <c r="H64" s="88"/>
      <c r="I64" s="88"/>
      <c r="J64" s="88"/>
      <c r="K64" s="88"/>
      <c r="L64" s="88"/>
      <c r="M64" s="88"/>
      <c r="N64" s="88"/>
      <c r="O64" s="88"/>
    </row>
    <row r="65" spans="2:15" ht="12.75">
      <c r="B65" s="88"/>
      <c r="C65" s="88"/>
      <c r="D65" s="88"/>
      <c r="E65" s="88"/>
      <c r="F65" s="88"/>
      <c r="G65" s="88"/>
      <c r="H65" s="88"/>
      <c r="I65" s="88"/>
      <c r="J65" s="88"/>
      <c r="K65" s="88"/>
      <c r="L65" s="88"/>
      <c r="M65" s="88"/>
      <c r="N65" s="88"/>
      <c r="O65" s="88"/>
    </row>
    <row r="66" spans="2:15" ht="12.75">
      <c r="B66" s="88"/>
      <c r="C66" s="88"/>
      <c r="D66" s="88"/>
      <c r="E66" s="88"/>
      <c r="F66" s="88"/>
      <c r="G66" s="88"/>
      <c r="H66" s="88"/>
      <c r="I66" s="88"/>
      <c r="J66" s="88"/>
      <c r="K66" s="88"/>
      <c r="L66" s="88"/>
      <c r="M66" s="88"/>
      <c r="N66" s="88"/>
      <c r="O66" s="88"/>
    </row>
    <row r="67" spans="2:15" ht="12.75">
      <c r="B67" s="88"/>
      <c r="C67" s="88"/>
      <c r="D67" s="88"/>
      <c r="E67" s="88"/>
      <c r="F67" s="88"/>
      <c r="G67" s="88"/>
      <c r="H67" s="88"/>
      <c r="I67" s="88"/>
      <c r="J67" s="88"/>
      <c r="K67" s="88"/>
      <c r="L67" s="88"/>
      <c r="M67" s="88"/>
      <c r="N67" s="88"/>
      <c r="O67" s="88"/>
    </row>
    <row r="68" spans="2:15" ht="12.75">
      <c r="B68" s="88"/>
      <c r="C68" s="88"/>
      <c r="D68" s="88"/>
      <c r="E68" s="88"/>
      <c r="F68" s="88"/>
      <c r="G68" s="88"/>
      <c r="H68" s="88"/>
      <c r="I68" s="88"/>
      <c r="J68" s="88"/>
      <c r="K68" s="88"/>
      <c r="L68" s="88"/>
      <c r="M68" s="88"/>
      <c r="N68" s="88"/>
      <c r="O68" s="88"/>
    </row>
    <row r="69" spans="2:15" ht="12.75">
      <c r="B69" s="88"/>
      <c r="C69" s="88"/>
      <c r="D69" s="88"/>
      <c r="E69" s="88"/>
      <c r="F69" s="88"/>
      <c r="G69" s="88"/>
      <c r="H69" s="88"/>
      <c r="I69" s="88"/>
      <c r="J69" s="88"/>
      <c r="K69" s="88"/>
      <c r="L69" s="88"/>
      <c r="M69" s="88"/>
      <c r="N69" s="88"/>
      <c r="O69" s="88"/>
    </row>
    <row r="70" spans="2:15" ht="12.75">
      <c r="B70" s="88"/>
      <c r="C70" s="88"/>
      <c r="D70" s="88"/>
      <c r="E70" s="88"/>
      <c r="F70" s="88"/>
      <c r="G70" s="88"/>
      <c r="H70" s="88"/>
      <c r="I70" s="88"/>
      <c r="J70" s="88"/>
      <c r="K70" s="88"/>
      <c r="L70" s="88"/>
      <c r="M70" s="88"/>
      <c r="N70" s="88"/>
      <c r="O70" s="88"/>
    </row>
    <row r="71" spans="2:15" ht="12.75">
      <c r="B71" s="88"/>
      <c r="C71" s="88"/>
      <c r="D71" s="88"/>
      <c r="E71" s="88"/>
      <c r="F71" s="88"/>
      <c r="G71" s="88"/>
      <c r="H71" s="88"/>
      <c r="I71" s="88"/>
      <c r="J71" s="88"/>
      <c r="K71" s="88"/>
      <c r="L71" s="88"/>
      <c r="M71" s="88"/>
      <c r="N71" s="88"/>
      <c r="O71" s="88"/>
    </row>
    <row r="72" spans="2:15" ht="12.75">
      <c r="B72" s="88"/>
      <c r="C72" s="88"/>
      <c r="D72" s="88"/>
      <c r="E72" s="88"/>
      <c r="F72" s="88"/>
      <c r="G72" s="88"/>
      <c r="H72" s="88"/>
      <c r="I72" s="88"/>
      <c r="J72" s="88"/>
      <c r="K72" s="88"/>
      <c r="L72" s="88"/>
      <c r="M72" s="88"/>
      <c r="N72" s="88"/>
      <c r="O72" s="88"/>
    </row>
    <row r="73" spans="2:15" ht="12.75">
      <c r="B73" s="88"/>
      <c r="C73" s="88"/>
      <c r="D73" s="88"/>
      <c r="E73" s="88"/>
      <c r="F73" s="88"/>
      <c r="G73" s="88"/>
      <c r="H73" s="88"/>
      <c r="I73" s="88"/>
      <c r="J73" s="88"/>
      <c r="K73" s="88"/>
      <c r="L73" s="88"/>
      <c r="M73" s="88"/>
      <c r="N73" s="88"/>
      <c r="O73" s="88"/>
    </row>
    <row r="74" spans="2:15" ht="12.75">
      <c r="B74" s="88"/>
      <c r="C74" s="88"/>
      <c r="D74" s="88"/>
      <c r="E74" s="88"/>
      <c r="F74" s="88"/>
      <c r="G74" s="88"/>
      <c r="H74" s="88"/>
      <c r="I74" s="88"/>
      <c r="J74" s="88"/>
      <c r="K74" s="88"/>
      <c r="L74" s="88"/>
      <c r="M74" s="88"/>
      <c r="N74" s="88"/>
      <c r="O74" s="88"/>
    </row>
    <row r="75" spans="2:15" ht="12.75">
      <c r="B75" s="88"/>
      <c r="C75" s="88"/>
      <c r="D75" s="88"/>
      <c r="E75" s="88"/>
      <c r="F75" s="88"/>
      <c r="G75" s="88"/>
      <c r="H75" s="88"/>
      <c r="I75" s="88"/>
      <c r="J75" s="88"/>
      <c r="K75" s="88"/>
      <c r="L75" s="88"/>
      <c r="M75" s="88"/>
      <c r="N75" s="88"/>
      <c r="O75" s="88"/>
    </row>
    <row r="76" spans="2:15" ht="12.75">
      <c r="B76" s="88"/>
      <c r="C76" s="88"/>
      <c r="D76" s="88"/>
      <c r="E76" s="88"/>
      <c r="F76" s="88"/>
      <c r="G76" s="88"/>
      <c r="H76" s="88"/>
      <c r="I76" s="88"/>
      <c r="J76" s="88"/>
      <c r="K76" s="88"/>
      <c r="L76" s="88"/>
      <c r="M76" s="88"/>
      <c r="N76" s="88"/>
      <c r="O76" s="88"/>
    </row>
    <row r="77" spans="2:15" ht="12.75">
      <c r="B77" s="88"/>
      <c r="C77" s="88"/>
      <c r="D77" s="88"/>
      <c r="E77" s="88"/>
      <c r="F77" s="88"/>
      <c r="G77" s="88"/>
      <c r="H77" s="88"/>
      <c r="I77" s="88"/>
      <c r="J77" s="88"/>
      <c r="K77" s="88"/>
      <c r="L77" s="88"/>
      <c r="M77" s="88"/>
      <c r="N77" s="88"/>
      <c r="O77" s="88"/>
    </row>
    <row r="78" spans="2:15" ht="12.75">
      <c r="B78" s="88"/>
      <c r="C78" s="88"/>
      <c r="D78" s="88"/>
      <c r="E78" s="88"/>
      <c r="F78" s="88"/>
      <c r="G78" s="88"/>
      <c r="H78" s="88"/>
      <c r="I78" s="88"/>
      <c r="J78" s="88"/>
      <c r="K78" s="88"/>
      <c r="L78" s="88"/>
      <c r="M78" s="88"/>
      <c r="N78" s="88"/>
      <c r="O78" s="88"/>
    </row>
    <row r="79" spans="2:15" ht="12.75">
      <c r="B79" s="88"/>
      <c r="C79" s="88"/>
      <c r="D79" s="88"/>
      <c r="E79" s="88"/>
      <c r="F79" s="88"/>
      <c r="G79" s="88"/>
      <c r="H79" s="88"/>
      <c r="I79" s="88"/>
      <c r="J79" s="88"/>
      <c r="K79" s="88"/>
      <c r="L79" s="88"/>
      <c r="M79" s="88"/>
      <c r="N79" s="88"/>
      <c r="O79" s="88"/>
    </row>
    <row r="80" spans="2:15" ht="12.75">
      <c r="B80" s="88"/>
      <c r="C80" s="88"/>
      <c r="D80" s="88"/>
      <c r="E80" s="88"/>
      <c r="F80" s="88"/>
      <c r="G80" s="88"/>
      <c r="H80" s="88"/>
      <c r="I80" s="88"/>
      <c r="J80" s="88"/>
      <c r="K80" s="88"/>
      <c r="L80" s="88"/>
      <c r="M80" s="88"/>
      <c r="N80" s="88"/>
      <c r="O80" s="88"/>
    </row>
    <row r="81" spans="2:15" ht="12.75">
      <c r="B81" s="88"/>
      <c r="C81" s="88"/>
      <c r="D81" s="88"/>
      <c r="E81" s="88"/>
      <c r="F81" s="88"/>
      <c r="G81" s="88"/>
      <c r="H81" s="88"/>
      <c r="I81" s="88"/>
      <c r="J81" s="88"/>
      <c r="K81" s="88"/>
      <c r="L81" s="88"/>
      <c r="M81" s="88"/>
      <c r="N81" s="88"/>
      <c r="O81" s="88"/>
    </row>
    <row r="82" spans="2:15" ht="12.75">
      <c r="B82" s="88"/>
      <c r="C82" s="88"/>
      <c r="D82" s="88"/>
      <c r="E82" s="88"/>
      <c r="F82" s="88"/>
      <c r="G82" s="88"/>
      <c r="H82" s="88"/>
      <c r="I82" s="88"/>
      <c r="J82" s="88"/>
      <c r="K82" s="88"/>
      <c r="L82" s="88"/>
      <c r="M82" s="88"/>
      <c r="N82" s="88"/>
      <c r="O82" s="88"/>
    </row>
    <row r="83" spans="2:15" ht="12.75">
      <c r="B83" s="88"/>
      <c r="C83" s="88"/>
      <c r="D83" s="88"/>
      <c r="E83" s="88"/>
      <c r="F83" s="88"/>
      <c r="G83" s="88"/>
      <c r="H83" s="88"/>
      <c r="I83" s="88"/>
      <c r="J83" s="88"/>
      <c r="K83" s="88"/>
      <c r="L83" s="88"/>
      <c r="M83" s="88"/>
      <c r="N83" s="88"/>
      <c r="O83" s="88"/>
    </row>
    <row r="84" spans="2:15" ht="12.75">
      <c r="B84" s="88"/>
      <c r="C84" s="88"/>
      <c r="D84" s="88"/>
      <c r="E84" s="88"/>
      <c r="F84" s="88"/>
      <c r="G84" s="88"/>
      <c r="H84" s="88"/>
      <c r="I84" s="88"/>
      <c r="J84" s="88"/>
      <c r="K84" s="88"/>
      <c r="L84" s="88"/>
      <c r="M84" s="88"/>
      <c r="N84" s="88"/>
      <c r="O84" s="88"/>
    </row>
    <row r="85" spans="2:15" ht="12.75">
      <c r="B85" s="88"/>
      <c r="C85" s="88"/>
      <c r="D85" s="88"/>
      <c r="E85" s="88"/>
      <c r="F85" s="88"/>
      <c r="G85" s="88"/>
      <c r="H85" s="88"/>
      <c r="I85" s="88"/>
      <c r="J85" s="88"/>
      <c r="K85" s="88"/>
      <c r="L85" s="88"/>
      <c r="M85" s="88"/>
      <c r="N85" s="88"/>
      <c r="O85" s="88"/>
    </row>
    <row r="86" spans="2:15" ht="12.75">
      <c r="B86" s="88"/>
      <c r="C86" s="88"/>
      <c r="D86" s="88"/>
      <c r="E86" s="88"/>
      <c r="F86" s="88"/>
      <c r="G86" s="88"/>
      <c r="H86" s="88"/>
      <c r="I86" s="88"/>
      <c r="J86" s="88"/>
      <c r="K86" s="88"/>
      <c r="L86" s="88"/>
      <c r="M86" s="88"/>
      <c r="N86" s="88"/>
      <c r="O86" s="88"/>
    </row>
    <row r="87" spans="2:15" ht="12.75">
      <c r="B87" s="88"/>
      <c r="C87" s="88"/>
      <c r="D87" s="88"/>
      <c r="E87" s="88"/>
      <c r="F87" s="88"/>
      <c r="G87" s="88"/>
      <c r="H87" s="88"/>
      <c r="I87" s="88"/>
      <c r="J87" s="88"/>
      <c r="K87" s="88"/>
      <c r="L87" s="88"/>
      <c r="M87" s="88"/>
      <c r="N87" s="88"/>
      <c r="O87" s="88"/>
    </row>
    <row r="88" spans="2:15" ht="12.75">
      <c r="B88" s="88"/>
      <c r="C88" s="88"/>
      <c r="D88" s="88"/>
      <c r="E88" s="88"/>
      <c r="F88" s="88"/>
      <c r="G88" s="88"/>
      <c r="H88" s="88"/>
      <c r="I88" s="88"/>
      <c r="J88" s="88"/>
      <c r="K88" s="88"/>
      <c r="L88" s="88"/>
      <c r="M88" s="88"/>
      <c r="N88" s="88"/>
      <c r="O88" s="88"/>
    </row>
    <row r="89" spans="2:15" ht="12.75">
      <c r="B89" s="88"/>
      <c r="C89" s="88"/>
      <c r="D89" s="88"/>
      <c r="E89" s="88"/>
      <c r="F89" s="88"/>
      <c r="G89" s="88"/>
      <c r="H89" s="88"/>
      <c r="I89" s="88"/>
      <c r="J89" s="88"/>
      <c r="K89" s="88"/>
      <c r="L89" s="88"/>
      <c r="M89" s="88"/>
      <c r="N89" s="88"/>
      <c r="O89" s="88"/>
    </row>
    <row r="90" spans="2:15" ht="12.75">
      <c r="B90" s="88"/>
      <c r="C90" s="88"/>
      <c r="D90" s="88"/>
      <c r="E90" s="88"/>
      <c r="F90" s="88"/>
      <c r="G90" s="88"/>
      <c r="H90" s="88"/>
      <c r="I90" s="88"/>
      <c r="J90" s="88"/>
      <c r="K90" s="88"/>
      <c r="L90" s="88"/>
      <c r="M90" s="88"/>
      <c r="N90" s="88"/>
      <c r="O90" s="88"/>
    </row>
    <row r="91" spans="2:15" ht="12.75">
      <c r="B91" s="88"/>
      <c r="C91" s="88"/>
      <c r="D91" s="88"/>
      <c r="E91" s="88"/>
      <c r="F91" s="88"/>
      <c r="G91" s="88"/>
      <c r="H91" s="88"/>
      <c r="I91" s="88"/>
      <c r="J91" s="88"/>
      <c r="K91" s="88"/>
      <c r="L91" s="88"/>
      <c r="M91" s="88"/>
      <c r="N91" s="88"/>
      <c r="O91" s="88"/>
    </row>
    <row r="92" spans="2:15" ht="12.75">
      <c r="B92" s="88"/>
      <c r="C92" s="88"/>
      <c r="D92" s="88"/>
      <c r="E92" s="88"/>
      <c r="F92" s="88"/>
      <c r="G92" s="88"/>
      <c r="H92" s="88"/>
      <c r="I92" s="88"/>
      <c r="J92" s="88"/>
      <c r="K92" s="88"/>
      <c r="L92" s="88"/>
      <c r="M92" s="88"/>
      <c r="N92" s="88"/>
      <c r="O92" s="88"/>
    </row>
    <row r="93" spans="2:15" ht="12.75">
      <c r="B93" s="88"/>
      <c r="C93" s="88"/>
      <c r="D93" s="88"/>
      <c r="E93" s="88"/>
      <c r="F93" s="88"/>
      <c r="G93" s="88"/>
      <c r="H93" s="88"/>
      <c r="I93" s="88"/>
      <c r="J93" s="88"/>
      <c r="K93" s="88"/>
      <c r="L93" s="88"/>
      <c r="M93" s="88"/>
      <c r="N93" s="88"/>
      <c r="O93" s="88"/>
    </row>
    <row r="94" spans="2:15" ht="12.75">
      <c r="B94" s="88"/>
      <c r="C94" s="88"/>
      <c r="D94" s="88"/>
      <c r="E94" s="88"/>
      <c r="F94" s="88"/>
      <c r="G94" s="88"/>
      <c r="H94" s="88"/>
      <c r="I94" s="88"/>
      <c r="J94" s="88"/>
      <c r="K94" s="88"/>
      <c r="L94" s="88"/>
      <c r="M94" s="88"/>
      <c r="N94" s="88"/>
      <c r="O94" s="88"/>
    </row>
    <row r="95" spans="2:15" ht="12.75">
      <c r="B95" s="88"/>
      <c r="C95" s="88"/>
      <c r="D95" s="88"/>
      <c r="E95" s="88"/>
      <c r="F95" s="88"/>
      <c r="G95" s="88"/>
      <c r="H95" s="88"/>
      <c r="I95" s="88"/>
      <c r="J95" s="88"/>
      <c r="K95" s="88"/>
      <c r="L95" s="88"/>
      <c r="M95" s="88"/>
      <c r="N95" s="88"/>
      <c r="O95" s="88"/>
    </row>
    <row r="96" spans="2:15" ht="12.75">
      <c r="B96" s="88"/>
      <c r="C96" s="88"/>
      <c r="D96" s="88"/>
      <c r="E96" s="88"/>
      <c r="F96" s="88"/>
      <c r="G96" s="88"/>
      <c r="H96" s="88"/>
      <c r="I96" s="88"/>
      <c r="J96" s="88"/>
      <c r="K96" s="88"/>
      <c r="L96" s="88"/>
      <c r="M96" s="88"/>
      <c r="N96" s="88"/>
      <c r="O96" s="88"/>
    </row>
    <row r="97" spans="2:15" ht="12.75">
      <c r="B97" s="88"/>
      <c r="C97" s="88"/>
      <c r="D97" s="88"/>
      <c r="E97" s="88"/>
      <c r="F97" s="88"/>
      <c r="G97" s="88"/>
      <c r="H97" s="88"/>
      <c r="I97" s="88"/>
      <c r="J97" s="88"/>
      <c r="K97" s="88"/>
      <c r="L97" s="88"/>
      <c r="M97" s="88"/>
      <c r="N97" s="88"/>
      <c r="O97" s="88"/>
    </row>
    <row r="98" spans="2:15" ht="12.75">
      <c r="B98" s="88"/>
      <c r="C98" s="88"/>
      <c r="D98" s="88"/>
      <c r="E98" s="88"/>
      <c r="F98" s="88"/>
      <c r="G98" s="88"/>
      <c r="H98" s="88"/>
      <c r="I98" s="88"/>
      <c r="J98" s="88"/>
      <c r="K98" s="88"/>
      <c r="L98" s="88"/>
      <c r="M98" s="88"/>
      <c r="N98" s="88"/>
      <c r="O98" s="88"/>
    </row>
    <row r="99" spans="2:15" ht="12.75">
      <c r="B99" s="88"/>
      <c r="C99" s="88"/>
      <c r="D99" s="88"/>
      <c r="E99" s="88"/>
      <c r="F99" s="88"/>
      <c r="G99" s="88"/>
      <c r="H99" s="88"/>
      <c r="I99" s="88"/>
      <c r="J99" s="88"/>
      <c r="K99" s="88"/>
      <c r="L99" s="88"/>
      <c r="M99" s="88"/>
      <c r="N99" s="88"/>
      <c r="O99" s="88"/>
    </row>
    <row r="100" spans="2:15" ht="12.75">
      <c r="B100" s="88"/>
      <c r="C100" s="88"/>
      <c r="D100" s="88"/>
      <c r="E100" s="88"/>
      <c r="F100" s="88"/>
      <c r="G100" s="88"/>
      <c r="H100" s="88"/>
      <c r="I100" s="88"/>
      <c r="J100" s="88"/>
      <c r="K100" s="88"/>
      <c r="L100" s="88"/>
      <c r="M100" s="88"/>
      <c r="N100" s="88"/>
      <c r="O100" s="88"/>
    </row>
    <row r="101" spans="2:15" ht="12.75">
      <c r="B101" s="88"/>
      <c r="C101" s="88"/>
      <c r="D101" s="88"/>
      <c r="E101" s="88"/>
      <c r="F101" s="88"/>
      <c r="G101" s="88"/>
      <c r="H101" s="88"/>
      <c r="I101" s="88"/>
      <c r="J101" s="88"/>
      <c r="K101" s="88"/>
      <c r="L101" s="88"/>
      <c r="M101" s="88"/>
      <c r="N101" s="88"/>
      <c r="O101" s="88"/>
    </row>
    <row r="102" spans="2:15" ht="12.75">
      <c r="B102" s="88"/>
      <c r="C102" s="88"/>
      <c r="D102" s="88"/>
      <c r="E102" s="88"/>
      <c r="F102" s="88"/>
      <c r="G102" s="88"/>
      <c r="H102" s="88"/>
      <c r="I102" s="88"/>
      <c r="J102" s="88"/>
      <c r="K102" s="88"/>
      <c r="L102" s="88"/>
      <c r="M102" s="88"/>
      <c r="N102" s="88"/>
      <c r="O102" s="88"/>
    </row>
    <row r="103" spans="2:15" ht="12.75">
      <c r="B103" s="88"/>
      <c r="C103" s="88"/>
      <c r="D103" s="88"/>
      <c r="E103" s="88"/>
      <c r="F103" s="88"/>
      <c r="G103" s="88"/>
      <c r="H103" s="88"/>
      <c r="I103" s="88"/>
      <c r="J103" s="88"/>
      <c r="K103" s="88"/>
      <c r="L103" s="88"/>
      <c r="M103" s="88"/>
      <c r="N103" s="88"/>
      <c r="O103" s="88"/>
    </row>
    <row r="104" spans="2:15" ht="12.75">
      <c r="B104" s="88"/>
      <c r="C104" s="88"/>
      <c r="D104" s="88"/>
      <c r="E104" s="88"/>
      <c r="F104" s="88"/>
      <c r="G104" s="88"/>
      <c r="H104" s="88"/>
      <c r="I104" s="88"/>
      <c r="J104" s="88"/>
      <c r="K104" s="88"/>
      <c r="L104" s="88"/>
      <c r="M104" s="88"/>
      <c r="N104" s="88"/>
      <c r="O104" s="88"/>
    </row>
    <row r="105" spans="2:15" ht="12.75">
      <c r="B105" s="88"/>
      <c r="C105" s="88"/>
      <c r="D105" s="88"/>
      <c r="E105" s="88"/>
      <c r="F105" s="88"/>
      <c r="G105" s="88"/>
      <c r="H105" s="88"/>
      <c r="I105" s="88"/>
      <c r="J105" s="88"/>
      <c r="K105" s="88"/>
      <c r="L105" s="88"/>
      <c r="M105" s="88"/>
      <c r="N105" s="88"/>
      <c r="O105" s="88"/>
    </row>
    <row r="106" spans="2:15" ht="12.75">
      <c r="B106" s="88"/>
      <c r="C106" s="88"/>
      <c r="D106" s="88"/>
      <c r="E106" s="88"/>
      <c r="F106" s="88"/>
      <c r="G106" s="88"/>
      <c r="H106" s="88"/>
      <c r="I106" s="88"/>
      <c r="J106" s="88"/>
      <c r="K106" s="88"/>
      <c r="L106" s="88"/>
      <c r="M106" s="88"/>
      <c r="N106" s="88"/>
      <c r="O106" s="88"/>
    </row>
    <row r="107" spans="2:15" ht="12.75">
      <c r="B107" s="88"/>
      <c r="C107" s="88"/>
      <c r="D107" s="88"/>
      <c r="E107" s="88"/>
      <c r="F107" s="88"/>
      <c r="G107" s="88"/>
      <c r="H107" s="88"/>
      <c r="I107" s="88"/>
      <c r="J107" s="88"/>
      <c r="K107" s="88"/>
      <c r="L107" s="88"/>
      <c r="M107" s="88"/>
      <c r="N107" s="88"/>
      <c r="O107" s="88"/>
    </row>
    <row r="108" spans="2:15" ht="12.75">
      <c r="B108" s="88"/>
      <c r="C108" s="88"/>
      <c r="D108" s="88"/>
      <c r="E108" s="88"/>
      <c r="F108" s="88"/>
      <c r="G108" s="88"/>
      <c r="H108" s="88"/>
      <c r="I108" s="88"/>
      <c r="J108" s="88"/>
      <c r="K108" s="88"/>
      <c r="L108" s="88"/>
      <c r="M108" s="88"/>
      <c r="N108" s="88"/>
      <c r="O108" s="88"/>
    </row>
    <row r="109" spans="2:15" ht="12.75">
      <c r="B109" s="88"/>
      <c r="C109" s="88"/>
      <c r="D109" s="88"/>
      <c r="E109" s="88"/>
      <c r="F109" s="88"/>
      <c r="G109" s="88"/>
      <c r="H109" s="88"/>
      <c r="I109" s="88"/>
      <c r="J109" s="88"/>
      <c r="K109" s="88"/>
      <c r="L109" s="88"/>
      <c r="M109" s="88"/>
      <c r="N109" s="88"/>
      <c r="O109" s="88"/>
    </row>
    <row r="110" spans="2:15" ht="12.75">
      <c r="B110" s="88"/>
      <c r="C110" s="88"/>
      <c r="D110" s="88"/>
      <c r="E110" s="88"/>
      <c r="F110" s="88"/>
      <c r="G110" s="88"/>
      <c r="H110" s="88"/>
      <c r="I110" s="88"/>
      <c r="J110" s="88"/>
      <c r="K110" s="88"/>
      <c r="L110" s="88"/>
      <c r="M110" s="88"/>
      <c r="N110" s="88"/>
      <c r="O110" s="88"/>
    </row>
    <row r="111" spans="2:15" ht="12.75">
      <c r="B111" s="88"/>
      <c r="C111" s="88"/>
      <c r="D111" s="88"/>
      <c r="E111" s="88"/>
      <c r="F111" s="88"/>
      <c r="G111" s="88"/>
      <c r="H111" s="88"/>
      <c r="I111" s="88"/>
      <c r="J111" s="88"/>
      <c r="K111" s="88"/>
      <c r="L111" s="88"/>
      <c r="M111" s="88"/>
      <c r="N111" s="88"/>
      <c r="O111" s="88"/>
    </row>
    <row r="112" spans="2:15" ht="12.75">
      <c r="B112" s="88"/>
      <c r="C112" s="88"/>
      <c r="D112" s="88"/>
      <c r="E112" s="88"/>
      <c r="F112" s="88"/>
      <c r="G112" s="88"/>
      <c r="H112" s="88"/>
      <c r="I112" s="88"/>
      <c r="J112" s="88"/>
      <c r="K112" s="88"/>
      <c r="L112" s="88"/>
      <c r="M112" s="88"/>
      <c r="N112" s="88"/>
      <c r="O112" s="88"/>
    </row>
    <row r="113" spans="2:15" ht="12.75">
      <c r="B113" s="88"/>
      <c r="C113" s="88"/>
      <c r="D113" s="88"/>
      <c r="E113" s="88"/>
      <c r="F113" s="88"/>
      <c r="G113" s="88"/>
      <c r="H113" s="88"/>
      <c r="I113" s="88"/>
      <c r="J113" s="88"/>
      <c r="K113" s="88"/>
      <c r="L113" s="88"/>
      <c r="M113" s="88"/>
      <c r="N113" s="88"/>
      <c r="O113" s="88"/>
    </row>
    <row r="114" spans="2:15" ht="12.75">
      <c r="B114" s="88"/>
      <c r="C114" s="88"/>
      <c r="D114" s="88"/>
      <c r="E114" s="88"/>
      <c r="F114" s="88"/>
      <c r="G114" s="88"/>
      <c r="H114" s="88"/>
      <c r="I114" s="88"/>
      <c r="J114" s="88"/>
      <c r="K114" s="88"/>
      <c r="L114" s="88"/>
      <c r="M114" s="88"/>
      <c r="N114" s="88"/>
      <c r="O114" s="88"/>
    </row>
    <row r="115" spans="2:15" ht="12.75">
      <c r="B115" s="88"/>
      <c r="C115" s="88"/>
      <c r="D115" s="88"/>
      <c r="E115" s="88"/>
      <c r="F115" s="88"/>
      <c r="G115" s="88"/>
      <c r="H115" s="88"/>
      <c r="I115" s="88"/>
      <c r="J115" s="88"/>
      <c r="K115" s="88"/>
      <c r="L115" s="88"/>
      <c r="M115" s="88"/>
      <c r="N115" s="88"/>
      <c r="O115" s="88"/>
    </row>
    <row r="116" spans="2:15" ht="12.75">
      <c r="B116" s="88"/>
      <c r="C116" s="88"/>
      <c r="D116" s="88"/>
      <c r="E116" s="88"/>
      <c r="F116" s="88"/>
      <c r="G116" s="88"/>
      <c r="H116" s="88"/>
      <c r="I116" s="88"/>
      <c r="J116" s="88"/>
      <c r="K116" s="88"/>
      <c r="L116" s="88"/>
      <c r="M116" s="88"/>
      <c r="N116" s="88"/>
      <c r="O116" s="88"/>
    </row>
    <row r="117" spans="2:15" ht="12.75">
      <c r="B117" s="88"/>
      <c r="C117" s="88"/>
      <c r="D117" s="88"/>
      <c r="E117" s="88"/>
      <c r="F117" s="88"/>
      <c r="G117" s="88"/>
      <c r="H117" s="88"/>
      <c r="I117" s="88"/>
      <c r="J117" s="88"/>
      <c r="K117" s="88"/>
      <c r="L117" s="88"/>
      <c r="M117" s="88"/>
      <c r="N117" s="88"/>
      <c r="O117" s="88"/>
    </row>
    <row r="118" spans="2:15" ht="12.75">
      <c r="B118" s="88"/>
      <c r="C118" s="88"/>
      <c r="D118" s="88"/>
      <c r="E118" s="88"/>
      <c r="F118" s="88"/>
      <c r="G118" s="88"/>
      <c r="H118" s="88"/>
      <c r="I118" s="88"/>
      <c r="J118" s="88"/>
      <c r="K118" s="88"/>
      <c r="L118" s="88"/>
      <c r="M118" s="88"/>
      <c r="N118" s="88"/>
      <c r="O118" s="88"/>
    </row>
    <row r="119" spans="2:15" ht="12.75">
      <c r="B119" s="88"/>
      <c r="C119" s="88"/>
      <c r="D119" s="88"/>
      <c r="E119" s="88"/>
      <c r="F119" s="88"/>
      <c r="G119" s="88"/>
      <c r="H119" s="88"/>
      <c r="I119" s="88"/>
      <c r="J119" s="88"/>
      <c r="K119" s="88"/>
      <c r="L119" s="88"/>
      <c r="M119" s="88"/>
      <c r="N119" s="88"/>
      <c r="O119" s="88"/>
    </row>
    <row r="120" spans="2:15" ht="12.75">
      <c r="B120" s="88"/>
      <c r="C120" s="88"/>
      <c r="D120" s="88"/>
      <c r="E120" s="88"/>
      <c r="F120" s="88"/>
      <c r="G120" s="88"/>
      <c r="H120" s="88"/>
      <c r="I120" s="88"/>
      <c r="J120" s="88"/>
      <c r="K120" s="88"/>
      <c r="L120" s="88"/>
      <c r="M120" s="88"/>
      <c r="N120" s="88"/>
      <c r="O120" s="88"/>
    </row>
    <row r="121" spans="2:15" ht="12.75">
      <c r="B121" s="88"/>
      <c r="C121" s="88"/>
      <c r="D121" s="88"/>
      <c r="E121" s="88"/>
      <c r="F121" s="88"/>
      <c r="G121" s="88"/>
      <c r="H121" s="88"/>
      <c r="I121" s="88"/>
      <c r="J121" s="88"/>
      <c r="K121" s="88"/>
      <c r="L121" s="88"/>
      <c r="M121" s="88"/>
      <c r="N121" s="88"/>
      <c r="O121" s="88"/>
    </row>
    <row r="122" spans="2:15" ht="12.75">
      <c r="B122" s="88"/>
      <c r="C122" s="88"/>
      <c r="D122" s="88"/>
      <c r="E122" s="88"/>
      <c r="F122" s="88"/>
      <c r="G122" s="88"/>
      <c r="H122" s="88"/>
      <c r="I122" s="88"/>
      <c r="J122" s="88"/>
      <c r="K122" s="88"/>
      <c r="L122" s="88"/>
      <c r="M122" s="88"/>
      <c r="N122" s="88"/>
      <c r="O122" s="88"/>
    </row>
    <row r="123" spans="2:15" ht="12.75">
      <c r="B123" s="88"/>
      <c r="C123" s="88"/>
      <c r="D123" s="88"/>
      <c r="E123" s="88"/>
      <c r="F123" s="88"/>
      <c r="G123" s="88"/>
      <c r="H123" s="88"/>
      <c r="I123" s="88"/>
      <c r="J123" s="88"/>
      <c r="K123" s="88"/>
      <c r="L123" s="88"/>
      <c r="M123" s="88"/>
      <c r="N123" s="88"/>
      <c r="O123" s="88"/>
    </row>
    <row r="124" spans="2:15" ht="12.75">
      <c r="B124" s="88"/>
      <c r="C124" s="88"/>
      <c r="D124" s="88"/>
      <c r="E124" s="88"/>
      <c r="F124" s="88"/>
      <c r="G124" s="88"/>
      <c r="H124" s="88"/>
      <c r="I124" s="88"/>
      <c r="J124" s="88"/>
      <c r="K124" s="88"/>
      <c r="L124" s="88"/>
      <c r="M124" s="88"/>
      <c r="N124" s="88"/>
      <c r="O124" s="88"/>
    </row>
    <row r="125" spans="2:15" ht="12.75">
      <c r="B125" s="88"/>
      <c r="C125" s="88"/>
      <c r="D125" s="88"/>
      <c r="E125" s="88"/>
      <c r="F125" s="88"/>
      <c r="G125" s="88"/>
      <c r="H125" s="88"/>
      <c r="I125" s="88"/>
      <c r="J125" s="88"/>
      <c r="K125" s="88"/>
      <c r="L125" s="88"/>
      <c r="M125" s="88"/>
      <c r="N125" s="88"/>
      <c r="O125" s="88"/>
    </row>
    <row r="126" spans="2:15" ht="12.75">
      <c r="B126" s="88"/>
      <c r="C126" s="88"/>
      <c r="D126" s="88"/>
      <c r="E126" s="88"/>
      <c r="F126" s="88"/>
      <c r="G126" s="88"/>
      <c r="H126" s="88"/>
      <c r="I126" s="88"/>
      <c r="J126" s="88"/>
      <c r="K126" s="88"/>
      <c r="L126" s="88"/>
      <c r="M126" s="88"/>
      <c r="N126" s="88"/>
      <c r="O126" s="88"/>
    </row>
    <row r="127" spans="2:15" ht="12.75">
      <c r="B127" s="88"/>
      <c r="C127" s="88"/>
      <c r="D127" s="88"/>
      <c r="E127" s="88"/>
      <c r="F127" s="88"/>
      <c r="G127" s="88"/>
      <c r="H127" s="88"/>
      <c r="I127" s="88"/>
      <c r="J127" s="88"/>
      <c r="K127" s="88"/>
      <c r="L127" s="88"/>
      <c r="M127" s="88"/>
      <c r="N127" s="88"/>
      <c r="O127" s="88"/>
    </row>
    <row r="128" spans="2:15" ht="12.75">
      <c r="B128" s="88"/>
      <c r="C128" s="88"/>
      <c r="D128" s="88"/>
      <c r="E128" s="88"/>
      <c r="F128" s="88"/>
      <c r="G128" s="88"/>
      <c r="H128" s="88"/>
      <c r="I128" s="88"/>
      <c r="J128" s="88"/>
      <c r="K128" s="88"/>
      <c r="L128" s="88"/>
      <c r="M128" s="88"/>
      <c r="N128" s="88"/>
      <c r="O128" s="88"/>
    </row>
    <row r="129" spans="2:15" ht="12.75">
      <c r="B129" s="88"/>
      <c r="C129" s="88"/>
      <c r="D129" s="88"/>
      <c r="E129" s="88"/>
      <c r="F129" s="88"/>
      <c r="G129" s="88"/>
      <c r="H129" s="88"/>
      <c r="I129" s="88"/>
      <c r="J129" s="88"/>
      <c r="K129" s="88"/>
      <c r="L129" s="88"/>
      <c r="M129" s="88"/>
      <c r="N129" s="88"/>
      <c r="O129" s="88"/>
    </row>
    <row r="130" spans="2:15" ht="12.75">
      <c r="B130" s="88"/>
      <c r="C130" s="88"/>
      <c r="D130" s="88"/>
      <c r="E130" s="88"/>
      <c r="F130" s="88"/>
      <c r="G130" s="88"/>
      <c r="H130" s="88"/>
      <c r="I130" s="88"/>
      <c r="J130" s="88"/>
      <c r="K130" s="88"/>
      <c r="L130" s="88"/>
      <c r="M130" s="88"/>
      <c r="N130" s="88"/>
      <c r="O130" s="88"/>
    </row>
    <row r="131" spans="2:15" ht="12.75">
      <c r="B131" s="88"/>
      <c r="C131" s="88"/>
      <c r="D131" s="88"/>
      <c r="E131" s="88"/>
      <c r="F131" s="88"/>
      <c r="G131" s="88"/>
      <c r="H131" s="88"/>
      <c r="I131" s="88"/>
      <c r="J131" s="88"/>
      <c r="K131" s="88"/>
      <c r="L131" s="88"/>
      <c r="M131" s="88"/>
      <c r="N131" s="88"/>
      <c r="O131" s="88"/>
    </row>
    <row r="132" spans="2:15" ht="12.75">
      <c r="B132" s="88"/>
      <c r="C132" s="88"/>
      <c r="D132" s="88"/>
      <c r="E132" s="88"/>
      <c r="F132" s="88"/>
      <c r="G132" s="88"/>
      <c r="H132" s="88"/>
      <c r="I132" s="88"/>
      <c r="J132" s="88"/>
      <c r="K132" s="88"/>
      <c r="L132" s="88"/>
      <c r="M132" s="88"/>
      <c r="N132" s="88"/>
      <c r="O132" s="88"/>
    </row>
    <row r="133" spans="2:15" ht="12.75">
      <c r="B133" s="88"/>
      <c r="C133" s="88"/>
      <c r="D133" s="88"/>
      <c r="E133" s="88"/>
      <c r="F133" s="88"/>
      <c r="G133" s="88"/>
      <c r="H133" s="88"/>
      <c r="I133" s="88"/>
      <c r="J133" s="88"/>
      <c r="K133" s="88"/>
      <c r="L133" s="88"/>
      <c r="M133" s="88"/>
      <c r="N133" s="88"/>
      <c r="O133" s="88"/>
    </row>
    <row r="134" spans="2:15" ht="12.75">
      <c r="B134" s="88"/>
      <c r="C134" s="88"/>
      <c r="D134" s="88"/>
      <c r="E134" s="88"/>
      <c r="F134" s="88"/>
      <c r="G134" s="88"/>
      <c r="H134" s="88"/>
      <c r="I134" s="88"/>
      <c r="J134" s="88"/>
      <c r="K134" s="88"/>
      <c r="L134" s="88"/>
      <c r="M134" s="88"/>
      <c r="N134" s="88"/>
      <c r="O134" s="88"/>
    </row>
    <row r="135" spans="2:15" ht="12.75">
      <c r="B135" s="88"/>
      <c r="C135" s="88"/>
      <c r="D135" s="88"/>
      <c r="E135" s="88"/>
      <c r="F135" s="88"/>
      <c r="G135" s="88"/>
      <c r="H135" s="88"/>
      <c r="I135" s="88"/>
      <c r="J135" s="88"/>
      <c r="K135" s="88"/>
      <c r="L135" s="88"/>
      <c r="M135" s="88"/>
      <c r="N135" s="88"/>
      <c r="O135" s="88"/>
    </row>
    <row r="136" spans="2:15" ht="12.75">
      <c r="B136" s="88"/>
      <c r="C136" s="88"/>
      <c r="D136" s="88"/>
      <c r="E136" s="88"/>
      <c r="F136" s="88"/>
      <c r="G136" s="88"/>
      <c r="H136" s="88"/>
      <c r="I136" s="88"/>
      <c r="J136" s="88"/>
      <c r="K136" s="88"/>
      <c r="L136" s="88"/>
      <c r="M136" s="88"/>
      <c r="N136" s="88"/>
      <c r="O136" s="88"/>
    </row>
    <row r="137" spans="2:15" ht="12.75">
      <c r="B137" s="88"/>
      <c r="C137" s="88"/>
      <c r="D137" s="88"/>
      <c r="E137" s="88"/>
      <c r="F137" s="88"/>
      <c r="G137" s="88"/>
      <c r="H137" s="88"/>
      <c r="I137" s="88"/>
      <c r="J137" s="88"/>
      <c r="K137" s="88"/>
      <c r="L137" s="88"/>
      <c r="M137" s="88"/>
      <c r="N137" s="88"/>
      <c r="O137" s="88"/>
    </row>
    <row r="138" spans="2:15" ht="12.75">
      <c r="B138" s="88"/>
      <c r="C138" s="88"/>
      <c r="D138" s="88"/>
      <c r="E138" s="88"/>
      <c r="F138" s="88"/>
      <c r="G138" s="88"/>
      <c r="H138" s="88"/>
      <c r="I138" s="88"/>
      <c r="J138" s="88"/>
      <c r="K138" s="88"/>
      <c r="L138" s="88"/>
      <c r="M138" s="88"/>
      <c r="N138" s="88"/>
      <c r="O138" s="88"/>
    </row>
    <row r="139" spans="2:15" ht="12.75">
      <c r="B139" s="88"/>
      <c r="C139" s="88"/>
      <c r="D139" s="88"/>
      <c r="E139" s="88"/>
      <c r="F139" s="88"/>
      <c r="G139" s="88"/>
      <c r="H139" s="88"/>
      <c r="I139" s="88"/>
      <c r="J139" s="88"/>
      <c r="K139" s="88"/>
      <c r="L139" s="88"/>
      <c r="M139" s="88"/>
      <c r="N139" s="88"/>
      <c r="O139" s="88"/>
    </row>
    <row r="140" spans="2:15" ht="12.75">
      <c r="B140" s="88"/>
      <c r="C140" s="88"/>
      <c r="D140" s="88"/>
      <c r="E140" s="88"/>
      <c r="F140" s="88"/>
      <c r="G140" s="88"/>
      <c r="H140" s="88"/>
      <c r="I140" s="88"/>
      <c r="J140" s="88"/>
      <c r="K140" s="88"/>
      <c r="L140" s="88"/>
      <c r="M140" s="88"/>
      <c r="N140" s="88"/>
      <c r="O140" s="88"/>
    </row>
    <row r="141" spans="2:15" ht="12.75">
      <c r="B141" s="88"/>
      <c r="C141" s="88"/>
      <c r="D141" s="88"/>
      <c r="E141" s="88"/>
      <c r="F141" s="88"/>
      <c r="G141" s="88"/>
      <c r="H141" s="88"/>
      <c r="I141" s="88"/>
      <c r="J141" s="88"/>
      <c r="K141" s="88"/>
      <c r="L141" s="88"/>
      <c r="M141" s="88"/>
      <c r="N141" s="88"/>
      <c r="O141" s="88"/>
    </row>
    <row r="142" spans="2:15" ht="12.75">
      <c r="B142" s="88"/>
      <c r="C142" s="88"/>
      <c r="D142" s="88"/>
      <c r="E142" s="88"/>
      <c r="F142" s="88"/>
      <c r="G142" s="88"/>
      <c r="H142" s="88"/>
      <c r="I142" s="88"/>
      <c r="J142" s="88"/>
      <c r="K142" s="88"/>
      <c r="L142" s="88"/>
      <c r="M142" s="88"/>
      <c r="N142" s="88"/>
      <c r="O142" s="88"/>
    </row>
    <row r="143" spans="2:15" ht="12.75">
      <c r="B143" s="88"/>
      <c r="C143" s="88"/>
      <c r="D143" s="88"/>
      <c r="E143" s="88"/>
      <c r="F143" s="88"/>
      <c r="G143" s="88"/>
      <c r="H143" s="88"/>
      <c r="I143" s="88"/>
      <c r="J143" s="88"/>
      <c r="K143" s="88"/>
      <c r="L143" s="88"/>
      <c r="M143" s="88"/>
      <c r="N143" s="88"/>
      <c r="O143" s="88"/>
    </row>
    <row r="144" spans="2:15" ht="12.75">
      <c r="B144" s="88"/>
      <c r="C144" s="88"/>
      <c r="D144" s="88"/>
      <c r="E144" s="88"/>
      <c r="F144" s="88"/>
      <c r="G144" s="88"/>
      <c r="H144" s="88"/>
      <c r="I144" s="88"/>
      <c r="J144" s="88"/>
      <c r="K144" s="88"/>
      <c r="L144" s="88"/>
      <c r="M144" s="88"/>
      <c r="N144" s="88"/>
      <c r="O144" s="88"/>
    </row>
    <row r="145" spans="2:15" ht="12.75">
      <c r="B145" s="88"/>
      <c r="C145" s="88"/>
      <c r="D145" s="88"/>
      <c r="E145" s="88"/>
      <c r="F145" s="88"/>
      <c r="G145" s="88"/>
      <c r="H145" s="88"/>
      <c r="I145" s="88"/>
      <c r="J145" s="88"/>
      <c r="K145" s="88"/>
      <c r="L145" s="88"/>
      <c r="M145" s="88"/>
      <c r="N145" s="88"/>
      <c r="O145" s="88"/>
    </row>
    <row r="146" spans="2:15" ht="12.75">
      <c r="B146" s="88"/>
      <c r="C146" s="88"/>
      <c r="D146" s="88"/>
      <c r="E146" s="88"/>
      <c r="F146" s="88"/>
      <c r="G146" s="88"/>
      <c r="H146" s="88"/>
      <c r="I146" s="88"/>
      <c r="J146" s="88"/>
      <c r="K146" s="88"/>
      <c r="L146" s="88"/>
      <c r="M146" s="88"/>
      <c r="N146" s="88"/>
      <c r="O146" s="88"/>
    </row>
    <row r="147" spans="2:15" ht="12.75">
      <c r="B147" s="88"/>
      <c r="C147" s="88"/>
      <c r="D147" s="88"/>
      <c r="E147" s="88"/>
      <c r="F147" s="88"/>
      <c r="G147" s="88"/>
      <c r="H147" s="88"/>
      <c r="I147" s="88"/>
      <c r="J147" s="88"/>
      <c r="K147" s="88"/>
      <c r="L147" s="88"/>
      <c r="M147" s="88"/>
      <c r="N147" s="88"/>
      <c r="O147" s="88"/>
    </row>
    <row r="148" spans="2:15" ht="12.75">
      <c r="B148" s="88"/>
      <c r="C148" s="88"/>
      <c r="D148" s="88"/>
      <c r="E148" s="88"/>
      <c r="F148" s="88"/>
      <c r="G148" s="88"/>
      <c r="H148" s="88"/>
      <c r="I148" s="88"/>
      <c r="J148" s="88"/>
      <c r="K148" s="88"/>
      <c r="L148" s="88"/>
      <c r="M148" s="88"/>
      <c r="N148" s="88"/>
      <c r="O148" s="88"/>
    </row>
    <row r="149" spans="2:15" ht="12.75">
      <c r="B149" s="88"/>
      <c r="C149" s="88"/>
      <c r="D149" s="88"/>
      <c r="E149" s="88"/>
      <c r="F149" s="88"/>
      <c r="G149" s="88"/>
      <c r="H149" s="88"/>
      <c r="I149" s="88"/>
      <c r="J149" s="88"/>
      <c r="K149" s="88"/>
      <c r="L149" s="88"/>
      <c r="M149" s="88"/>
      <c r="N149" s="88"/>
      <c r="O149" s="88"/>
    </row>
    <row r="150" spans="2:15" ht="12.75">
      <c r="B150" s="88"/>
      <c r="C150" s="88"/>
      <c r="D150" s="88"/>
      <c r="E150" s="88"/>
      <c r="F150" s="88"/>
      <c r="G150" s="88"/>
      <c r="H150" s="88"/>
      <c r="I150" s="88"/>
      <c r="J150" s="88"/>
      <c r="K150" s="88"/>
      <c r="L150" s="88"/>
      <c r="M150" s="88"/>
      <c r="N150" s="88"/>
      <c r="O150" s="88"/>
    </row>
    <row r="151" spans="2:15" ht="12.75">
      <c r="B151" s="88"/>
      <c r="C151" s="88"/>
      <c r="D151" s="88"/>
      <c r="E151" s="88"/>
      <c r="F151" s="88"/>
      <c r="G151" s="88"/>
      <c r="H151" s="88"/>
      <c r="I151" s="88"/>
      <c r="J151" s="88"/>
      <c r="K151" s="88"/>
      <c r="L151" s="88"/>
      <c r="M151" s="88"/>
      <c r="N151" s="88"/>
      <c r="O151" s="88"/>
    </row>
    <row r="152" spans="2:15" ht="12.75">
      <c r="B152" s="88"/>
      <c r="C152" s="88"/>
      <c r="D152" s="88"/>
      <c r="E152" s="88"/>
      <c r="F152" s="88"/>
      <c r="G152" s="88"/>
      <c r="H152" s="88"/>
      <c r="I152" s="88"/>
      <c r="J152" s="88"/>
      <c r="K152" s="88"/>
      <c r="L152" s="88"/>
      <c r="M152" s="88"/>
      <c r="N152" s="88"/>
      <c r="O152" s="88"/>
    </row>
    <row r="153" spans="2:15" ht="12.75">
      <c r="B153" s="88"/>
      <c r="C153" s="88"/>
      <c r="D153" s="88"/>
      <c r="E153" s="88"/>
      <c r="F153" s="88"/>
      <c r="G153" s="88"/>
      <c r="H153" s="88"/>
      <c r="I153" s="88"/>
      <c r="J153" s="88"/>
      <c r="K153" s="88"/>
      <c r="L153" s="88"/>
      <c r="M153" s="88"/>
      <c r="N153" s="88"/>
      <c r="O153" s="88"/>
    </row>
    <row r="154" spans="2:15" ht="12.75">
      <c r="B154" s="88"/>
      <c r="C154" s="88"/>
      <c r="D154" s="88"/>
      <c r="E154" s="88"/>
      <c r="F154" s="88"/>
      <c r="G154" s="88"/>
      <c r="H154" s="88"/>
      <c r="I154" s="88"/>
      <c r="J154" s="88"/>
      <c r="K154" s="88"/>
      <c r="L154" s="88"/>
      <c r="M154" s="88"/>
      <c r="N154" s="88"/>
      <c r="O154" s="88"/>
    </row>
    <row r="155" spans="2:15" ht="12.75">
      <c r="B155" s="88"/>
      <c r="C155" s="88"/>
      <c r="D155" s="88"/>
      <c r="E155" s="88"/>
      <c r="F155" s="88"/>
      <c r="G155" s="88"/>
      <c r="H155" s="88"/>
      <c r="I155" s="88"/>
      <c r="J155" s="88"/>
      <c r="K155" s="88"/>
      <c r="L155" s="88"/>
      <c r="M155" s="88"/>
      <c r="N155" s="88"/>
      <c r="O155" s="88"/>
    </row>
    <row r="156" spans="2:15" ht="12.75">
      <c r="B156" s="88"/>
      <c r="C156" s="88"/>
      <c r="D156" s="88"/>
      <c r="E156" s="88"/>
      <c r="F156" s="88"/>
      <c r="G156" s="88"/>
      <c r="H156" s="88"/>
      <c r="I156" s="88"/>
      <c r="J156" s="88"/>
      <c r="K156" s="88"/>
      <c r="L156" s="88"/>
      <c r="M156" s="88"/>
      <c r="N156" s="88"/>
      <c r="O156" s="88"/>
    </row>
    <row r="157" spans="2:15" ht="12.75">
      <c r="B157" s="88"/>
      <c r="C157" s="88"/>
      <c r="D157" s="88"/>
      <c r="E157" s="88"/>
      <c r="F157" s="88"/>
      <c r="G157" s="88"/>
      <c r="H157" s="88"/>
      <c r="I157" s="88"/>
      <c r="J157" s="88"/>
      <c r="K157" s="88"/>
      <c r="L157" s="88"/>
      <c r="M157" s="88"/>
      <c r="N157" s="88"/>
      <c r="O157" s="88"/>
    </row>
    <row r="158" spans="2:15" ht="12.75">
      <c r="B158" s="88"/>
      <c r="C158" s="88"/>
      <c r="D158" s="88"/>
      <c r="E158" s="88"/>
      <c r="F158" s="88"/>
      <c r="G158" s="88"/>
      <c r="H158" s="88"/>
      <c r="I158" s="88"/>
      <c r="J158" s="88"/>
      <c r="K158" s="88"/>
      <c r="L158" s="88"/>
      <c r="M158" s="88"/>
      <c r="N158" s="88"/>
      <c r="O158" s="88"/>
    </row>
    <row r="159" spans="2:15" ht="12.75">
      <c r="B159" s="88"/>
      <c r="C159" s="88"/>
      <c r="D159" s="88"/>
      <c r="E159" s="88"/>
      <c r="F159" s="88"/>
      <c r="G159" s="88"/>
      <c r="H159" s="88"/>
      <c r="I159" s="88"/>
      <c r="J159" s="88"/>
      <c r="K159" s="88"/>
      <c r="L159" s="88"/>
      <c r="M159" s="88"/>
      <c r="N159" s="88"/>
      <c r="O159" s="88"/>
    </row>
    <row r="160" spans="2:15" ht="12.75">
      <c r="B160" s="88"/>
      <c r="C160" s="88"/>
      <c r="D160" s="88"/>
      <c r="E160" s="88"/>
      <c r="F160" s="88"/>
      <c r="G160" s="88"/>
      <c r="H160" s="88"/>
      <c r="I160" s="88"/>
      <c r="J160" s="88"/>
      <c r="K160" s="88"/>
      <c r="L160" s="88"/>
      <c r="M160" s="88"/>
      <c r="N160" s="88"/>
      <c r="O160" s="88"/>
    </row>
    <row r="161" spans="2:15" ht="12.75">
      <c r="B161" s="88"/>
      <c r="C161" s="88"/>
      <c r="D161" s="88"/>
      <c r="E161" s="88"/>
      <c r="F161" s="88"/>
      <c r="G161" s="88"/>
      <c r="H161" s="88"/>
      <c r="I161" s="88"/>
      <c r="J161" s="88"/>
      <c r="K161" s="88"/>
      <c r="L161" s="88"/>
      <c r="M161" s="88"/>
      <c r="N161" s="88"/>
      <c r="O161" s="88"/>
    </row>
    <row r="162" spans="2:15" ht="12.75">
      <c r="B162" s="88"/>
      <c r="C162" s="88"/>
      <c r="D162" s="88"/>
      <c r="E162" s="88"/>
      <c r="F162" s="88"/>
      <c r="G162" s="88"/>
      <c r="H162" s="88"/>
      <c r="I162" s="88"/>
      <c r="J162" s="88"/>
      <c r="K162" s="88"/>
      <c r="L162" s="88"/>
      <c r="M162" s="88"/>
      <c r="N162" s="88"/>
      <c r="O162" s="88"/>
    </row>
    <row r="163" spans="2:15" ht="12.75">
      <c r="B163" s="88"/>
      <c r="C163" s="88"/>
      <c r="D163" s="88"/>
      <c r="E163" s="88"/>
      <c r="F163" s="88"/>
      <c r="G163" s="88"/>
      <c r="H163" s="88"/>
      <c r="I163" s="88"/>
      <c r="J163" s="88"/>
      <c r="K163" s="88"/>
      <c r="L163" s="88"/>
      <c r="M163" s="88"/>
      <c r="N163" s="88"/>
      <c r="O163" s="88"/>
    </row>
    <row r="164" spans="2:15" ht="12.75">
      <c r="B164" s="88"/>
      <c r="C164" s="88"/>
      <c r="D164" s="88"/>
      <c r="E164" s="88"/>
      <c r="F164" s="88"/>
      <c r="G164" s="88"/>
      <c r="H164" s="88"/>
      <c r="I164" s="88"/>
      <c r="J164" s="88"/>
      <c r="K164" s="88"/>
      <c r="L164" s="88"/>
      <c r="M164" s="88"/>
      <c r="N164" s="88"/>
      <c r="O164" s="88"/>
    </row>
    <row r="165" spans="2:15" ht="12.75">
      <c r="B165" s="88"/>
      <c r="C165" s="88"/>
      <c r="D165" s="88"/>
      <c r="E165" s="88"/>
      <c r="F165" s="88"/>
      <c r="G165" s="88"/>
      <c r="H165" s="88"/>
      <c r="I165" s="88"/>
      <c r="J165" s="88"/>
      <c r="K165" s="88"/>
      <c r="L165" s="88"/>
      <c r="M165" s="88"/>
      <c r="N165" s="88"/>
      <c r="O165" s="88"/>
    </row>
    <row r="166" spans="2:15" ht="12.75">
      <c r="B166" s="88"/>
      <c r="C166" s="88"/>
      <c r="D166" s="88"/>
      <c r="E166" s="88"/>
      <c r="F166" s="88"/>
      <c r="G166" s="88"/>
      <c r="H166" s="88"/>
      <c r="I166" s="88"/>
      <c r="J166" s="88"/>
      <c r="K166" s="88"/>
      <c r="L166" s="88"/>
      <c r="M166" s="88"/>
      <c r="N166" s="88"/>
      <c r="O166" s="88"/>
    </row>
    <row r="167" spans="2:15" ht="12.75">
      <c r="B167" s="88"/>
      <c r="C167" s="88"/>
      <c r="D167" s="88"/>
      <c r="E167" s="88"/>
      <c r="F167" s="88"/>
      <c r="G167" s="88"/>
      <c r="H167" s="88"/>
      <c r="I167" s="88"/>
      <c r="J167" s="88"/>
      <c r="K167" s="88"/>
      <c r="L167" s="88"/>
      <c r="M167" s="88"/>
      <c r="N167" s="88"/>
      <c r="O167" s="88"/>
    </row>
    <row r="168" spans="2:15" ht="12.75">
      <c r="B168" s="88"/>
      <c r="C168" s="88"/>
      <c r="D168" s="88"/>
      <c r="E168" s="88"/>
      <c r="F168" s="88"/>
      <c r="G168" s="88"/>
      <c r="H168" s="88"/>
      <c r="I168" s="88"/>
      <c r="J168" s="88"/>
      <c r="K168" s="88"/>
      <c r="L168" s="88"/>
      <c r="M168" s="88"/>
      <c r="N168" s="88"/>
      <c r="O168" s="88"/>
    </row>
    <row r="169" spans="2:15" ht="12.75">
      <c r="B169" s="88"/>
      <c r="C169" s="88"/>
      <c r="D169" s="88"/>
      <c r="E169" s="88"/>
      <c r="F169" s="88"/>
      <c r="G169" s="88"/>
      <c r="H169" s="88"/>
      <c r="I169" s="88"/>
      <c r="J169" s="88"/>
      <c r="K169" s="88"/>
      <c r="L169" s="88"/>
      <c r="M169" s="88"/>
      <c r="N169" s="88"/>
      <c r="O169" s="88"/>
    </row>
    <row r="170" spans="2:15" ht="12.75">
      <c r="B170" s="88"/>
      <c r="C170" s="88"/>
      <c r="D170" s="88"/>
      <c r="E170" s="88"/>
      <c r="F170" s="88"/>
      <c r="G170" s="88"/>
      <c r="H170" s="88"/>
      <c r="I170" s="88"/>
      <c r="J170" s="88"/>
      <c r="K170" s="88"/>
      <c r="L170" s="88"/>
      <c r="M170" s="88"/>
      <c r="N170" s="88"/>
      <c r="O170" s="88"/>
    </row>
    <row r="171" spans="2:15" ht="12.75">
      <c r="B171" s="88"/>
      <c r="C171" s="88"/>
      <c r="D171" s="88"/>
      <c r="E171" s="88"/>
      <c r="F171" s="88"/>
      <c r="G171" s="88"/>
      <c r="H171" s="88"/>
      <c r="I171" s="88"/>
      <c r="J171" s="88"/>
      <c r="K171" s="88"/>
      <c r="L171" s="88"/>
      <c r="M171" s="88"/>
      <c r="N171" s="88"/>
      <c r="O171" s="88"/>
    </row>
    <row r="172" spans="2:15" ht="12.75">
      <c r="B172" s="88"/>
      <c r="C172" s="88"/>
      <c r="D172" s="88"/>
      <c r="E172" s="88"/>
      <c r="F172" s="88"/>
      <c r="G172" s="88"/>
      <c r="H172" s="88"/>
      <c r="I172" s="88"/>
      <c r="J172" s="88"/>
      <c r="K172" s="88"/>
      <c r="L172" s="88"/>
      <c r="M172" s="88"/>
      <c r="N172" s="88"/>
      <c r="O172" s="88"/>
    </row>
    <row r="173" spans="2:15" ht="12.75">
      <c r="B173" s="88"/>
      <c r="C173" s="88"/>
      <c r="D173" s="88"/>
      <c r="E173" s="88"/>
      <c r="F173" s="88"/>
      <c r="G173" s="88"/>
      <c r="H173" s="88"/>
      <c r="I173" s="88"/>
      <c r="J173" s="88"/>
      <c r="K173" s="88"/>
      <c r="L173" s="88"/>
      <c r="M173" s="88"/>
      <c r="N173" s="88"/>
      <c r="O173" s="88"/>
    </row>
    <row r="174" spans="2:15" ht="12.75">
      <c r="B174" s="88"/>
      <c r="C174" s="88"/>
      <c r="D174" s="88"/>
      <c r="E174" s="88"/>
      <c r="F174" s="88"/>
      <c r="G174" s="88"/>
      <c r="H174" s="88"/>
      <c r="I174" s="88"/>
      <c r="J174" s="88"/>
      <c r="K174" s="88"/>
      <c r="L174" s="88"/>
      <c r="M174" s="88"/>
      <c r="N174" s="88"/>
      <c r="O174" s="88"/>
    </row>
    <row r="175" spans="2:15" ht="12.75">
      <c r="B175" s="88"/>
      <c r="C175" s="88"/>
      <c r="D175" s="88"/>
      <c r="E175" s="88"/>
      <c r="F175" s="88"/>
      <c r="G175" s="88"/>
      <c r="H175" s="88"/>
      <c r="I175" s="88"/>
      <c r="J175" s="88"/>
      <c r="K175" s="88"/>
      <c r="L175" s="88"/>
      <c r="M175" s="88"/>
      <c r="N175" s="88"/>
      <c r="O175" s="88"/>
    </row>
    <row r="176" spans="2:15" ht="12.75">
      <c r="B176" s="88"/>
      <c r="C176" s="88"/>
      <c r="D176" s="88"/>
      <c r="E176" s="88"/>
      <c r="F176" s="88"/>
      <c r="G176" s="88"/>
      <c r="H176" s="88"/>
      <c r="I176" s="88"/>
      <c r="J176" s="88"/>
      <c r="K176" s="88"/>
      <c r="L176" s="88"/>
      <c r="M176" s="88"/>
      <c r="N176" s="88"/>
      <c r="O176" s="88"/>
    </row>
    <row r="177" spans="2:15" ht="12.75">
      <c r="B177" s="88"/>
      <c r="C177" s="88"/>
      <c r="D177" s="88"/>
      <c r="E177" s="88"/>
      <c r="F177" s="88"/>
      <c r="G177" s="88"/>
      <c r="H177" s="88"/>
      <c r="I177" s="88"/>
      <c r="J177" s="88"/>
      <c r="K177" s="88"/>
      <c r="L177" s="88"/>
      <c r="M177" s="88"/>
      <c r="N177" s="88"/>
      <c r="O177" s="88"/>
    </row>
    <row r="178" spans="2:15" ht="12.75">
      <c r="B178" s="88"/>
      <c r="C178" s="88"/>
      <c r="D178" s="88"/>
      <c r="E178" s="88"/>
      <c r="F178" s="88"/>
      <c r="G178" s="88"/>
      <c r="H178" s="88"/>
      <c r="I178" s="88"/>
      <c r="J178" s="88"/>
      <c r="K178" s="88"/>
      <c r="L178" s="88"/>
      <c r="M178" s="88"/>
      <c r="N178" s="88"/>
      <c r="O178" s="88"/>
    </row>
    <row r="179" spans="2:15" ht="12.75">
      <c r="B179" s="88"/>
      <c r="C179" s="88"/>
      <c r="D179" s="88"/>
      <c r="E179" s="88"/>
      <c r="F179" s="88"/>
      <c r="G179" s="88"/>
      <c r="H179" s="88"/>
      <c r="I179" s="88"/>
      <c r="J179" s="88"/>
      <c r="K179" s="88"/>
      <c r="L179" s="88"/>
      <c r="M179" s="88"/>
      <c r="N179" s="88"/>
      <c r="O179" s="88"/>
    </row>
    <row r="180" spans="2:15" ht="12.75">
      <c r="B180" s="88"/>
      <c r="C180" s="88"/>
      <c r="D180" s="88"/>
      <c r="E180" s="88"/>
      <c r="F180" s="88"/>
      <c r="G180" s="88"/>
      <c r="H180" s="88"/>
      <c r="I180" s="88"/>
      <c r="J180" s="88"/>
      <c r="K180" s="88"/>
      <c r="L180" s="88"/>
      <c r="M180" s="88"/>
      <c r="N180" s="88"/>
      <c r="O180" s="88"/>
    </row>
    <row r="181" spans="2:15" ht="12.75">
      <c r="B181" s="88"/>
      <c r="C181" s="88"/>
      <c r="D181" s="88"/>
      <c r="E181" s="88"/>
      <c r="F181" s="88"/>
      <c r="G181" s="88"/>
      <c r="H181" s="88"/>
      <c r="I181" s="88"/>
      <c r="J181" s="88"/>
      <c r="K181" s="88"/>
      <c r="L181" s="88"/>
      <c r="M181" s="88"/>
      <c r="N181" s="88"/>
      <c r="O181" s="88"/>
    </row>
    <row r="182" spans="2:15" ht="12.75">
      <c r="B182" s="88"/>
      <c r="C182" s="88"/>
      <c r="D182" s="88"/>
      <c r="E182" s="88"/>
      <c r="F182" s="88"/>
      <c r="G182" s="88"/>
      <c r="H182" s="88"/>
      <c r="I182" s="88"/>
      <c r="J182" s="88"/>
      <c r="K182" s="88"/>
      <c r="L182" s="88"/>
      <c r="M182" s="88"/>
      <c r="N182" s="88"/>
      <c r="O182" s="88"/>
    </row>
    <row r="183" spans="2:15" ht="12.75">
      <c r="B183" s="88"/>
      <c r="C183" s="88"/>
      <c r="D183" s="88"/>
      <c r="E183" s="88"/>
      <c r="F183" s="88"/>
      <c r="G183" s="88"/>
      <c r="H183" s="88"/>
      <c r="I183" s="88"/>
      <c r="J183" s="88"/>
      <c r="K183" s="88"/>
      <c r="L183" s="88"/>
      <c r="M183" s="88"/>
      <c r="N183" s="88"/>
      <c r="O183" s="88"/>
    </row>
    <row r="184" spans="2:15" ht="12.75">
      <c r="B184" s="88"/>
      <c r="C184" s="88"/>
      <c r="D184" s="88"/>
      <c r="E184" s="88"/>
      <c r="F184" s="88"/>
      <c r="G184" s="88"/>
      <c r="H184" s="88"/>
      <c r="I184" s="88"/>
      <c r="J184" s="88"/>
      <c r="K184" s="88"/>
      <c r="L184" s="88"/>
      <c r="M184" s="88"/>
      <c r="N184" s="88"/>
      <c r="O184" s="88"/>
    </row>
    <row r="185" spans="2:15" ht="12.75">
      <c r="B185" s="88"/>
      <c r="C185" s="88"/>
      <c r="D185" s="88"/>
      <c r="E185" s="88"/>
      <c r="F185" s="88"/>
      <c r="G185" s="88"/>
      <c r="H185" s="88"/>
      <c r="I185" s="88"/>
      <c r="J185" s="88"/>
      <c r="K185" s="88"/>
      <c r="L185" s="88"/>
      <c r="M185" s="88"/>
      <c r="N185" s="88"/>
      <c r="O185" s="88"/>
    </row>
    <row r="186" spans="2:15" ht="12.75">
      <c r="B186" s="88"/>
      <c r="C186" s="88"/>
      <c r="D186" s="88"/>
      <c r="E186" s="88"/>
      <c r="F186" s="88"/>
      <c r="G186" s="88"/>
      <c r="H186" s="88"/>
      <c r="I186" s="88"/>
      <c r="J186" s="88"/>
      <c r="K186" s="88"/>
      <c r="L186" s="88"/>
      <c r="M186" s="88"/>
      <c r="N186" s="88"/>
      <c r="O186" s="88"/>
    </row>
    <row r="187" spans="2:15" ht="12.75">
      <c r="B187" s="88"/>
      <c r="C187" s="88"/>
      <c r="D187" s="88"/>
      <c r="E187" s="88"/>
      <c r="F187" s="88"/>
      <c r="G187" s="88"/>
      <c r="H187" s="88"/>
      <c r="I187" s="88"/>
      <c r="J187" s="88"/>
      <c r="K187" s="88"/>
      <c r="L187" s="88"/>
      <c r="M187" s="88"/>
      <c r="N187" s="88"/>
      <c r="O187" s="88"/>
    </row>
    <row r="188" spans="2:15" ht="12.75">
      <c r="B188" s="88"/>
      <c r="C188" s="88"/>
      <c r="D188" s="88"/>
      <c r="E188" s="88"/>
      <c r="F188" s="88"/>
      <c r="G188" s="88"/>
      <c r="H188" s="88"/>
      <c r="I188" s="88"/>
      <c r="J188" s="88"/>
      <c r="K188" s="88"/>
      <c r="L188" s="88"/>
      <c r="M188" s="88"/>
      <c r="N188" s="88"/>
      <c r="O188" s="88"/>
    </row>
    <row r="189" spans="2:15" ht="12.75">
      <c r="B189" s="88"/>
      <c r="C189" s="88"/>
      <c r="D189" s="88"/>
      <c r="E189" s="88"/>
      <c r="F189" s="88"/>
      <c r="G189" s="88"/>
      <c r="H189" s="88"/>
      <c r="I189" s="88"/>
      <c r="J189" s="88"/>
      <c r="K189" s="88"/>
      <c r="L189" s="88"/>
      <c r="M189" s="88"/>
      <c r="N189" s="88"/>
      <c r="O189" s="88"/>
    </row>
    <row r="190" spans="2:15" ht="12.75">
      <c r="B190" s="88"/>
      <c r="C190" s="88"/>
      <c r="D190" s="88"/>
      <c r="E190" s="88"/>
      <c r="F190" s="88"/>
      <c r="G190" s="88"/>
      <c r="H190" s="88"/>
      <c r="I190" s="88"/>
      <c r="J190" s="88"/>
      <c r="K190" s="88"/>
      <c r="L190" s="88"/>
      <c r="M190" s="88"/>
      <c r="N190" s="88"/>
      <c r="O190" s="88"/>
    </row>
    <row r="191" spans="2:15" ht="12.75">
      <c r="B191" s="88"/>
      <c r="C191" s="88"/>
      <c r="D191" s="88"/>
      <c r="E191" s="88"/>
      <c r="F191" s="88"/>
      <c r="G191" s="88"/>
      <c r="H191" s="88"/>
      <c r="I191" s="88"/>
      <c r="J191" s="88"/>
      <c r="K191" s="88"/>
      <c r="L191" s="88"/>
      <c r="M191" s="88"/>
      <c r="N191" s="88"/>
      <c r="O191" s="88"/>
    </row>
    <row r="192" spans="2:15" ht="12.75">
      <c r="B192" s="88"/>
      <c r="C192" s="88"/>
      <c r="D192" s="88"/>
      <c r="E192" s="88"/>
      <c r="F192" s="88"/>
      <c r="G192" s="88"/>
      <c r="H192" s="88"/>
      <c r="I192" s="88"/>
      <c r="J192" s="88"/>
      <c r="K192" s="88"/>
      <c r="L192" s="88"/>
      <c r="M192" s="88"/>
      <c r="N192" s="88"/>
      <c r="O192" s="88"/>
    </row>
    <row r="193" spans="2:15" ht="12.75">
      <c r="B193" s="88"/>
      <c r="C193" s="88"/>
      <c r="D193" s="88"/>
      <c r="E193" s="88"/>
      <c r="F193" s="88"/>
      <c r="G193" s="88"/>
      <c r="H193" s="88"/>
      <c r="I193" s="88"/>
      <c r="J193" s="88"/>
      <c r="K193" s="88"/>
      <c r="L193" s="88"/>
      <c r="M193" s="88"/>
      <c r="N193" s="88"/>
      <c r="O193" s="88"/>
    </row>
    <row r="194" spans="2:15" ht="12.75">
      <c r="B194" s="88"/>
      <c r="C194" s="88"/>
      <c r="D194" s="88"/>
      <c r="E194" s="88"/>
      <c r="F194" s="88"/>
      <c r="G194" s="88"/>
      <c r="H194" s="88"/>
      <c r="I194" s="88"/>
      <c r="J194" s="88"/>
      <c r="K194" s="88"/>
      <c r="L194" s="88"/>
      <c r="M194" s="88"/>
      <c r="N194" s="88"/>
      <c r="O194" s="88"/>
    </row>
    <row r="195" spans="2:15" ht="12.75">
      <c r="B195" s="88"/>
      <c r="C195" s="88"/>
      <c r="D195" s="88"/>
      <c r="E195" s="88"/>
      <c r="F195" s="88"/>
      <c r="G195" s="88"/>
      <c r="H195" s="88"/>
      <c r="I195" s="88"/>
      <c r="J195" s="88"/>
      <c r="K195" s="88"/>
      <c r="L195" s="88"/>
      <c r="M195" s="88"/>
      <c r="N195" s="88"/>
      <c r="O195" s="88"/>
    </row>
    <row r="196" spans="2:15" ht="12.75">
      <c r="B196" s="88"/>
      <c r="C196" s="88"/>
      <c r="D196" s="88"/>
      <c r="E196" s="88"/>
      <c r="F196" s="88"/>
      <c r="G196" s="88"/>
      <c r="H196" s="88"/>
      <c r="I196" s="88"/>
      <c r="J196" s="88"/>
      <c r="K196" s="88"/>
      <c r="L196" s="88"/>
      <c r="M196" s="88"/>
      <c r="N196" s="88"/>
      <c r="O196" s="88"/>
    </row>
    <row r="197" spans="2:15" ht="12.75">
      <c r="B197" s="88"/>
      <c r="C197" s="88"/>
      <c r="D197" s="88"/>
      <c r="E197" s="88"/>
      <c r="F197" s="88"/>
      <c r="G197" s="88"/>
      <c r="H197" s="88"/>
      <c r="I197" s="88"/>
      <c r="J197" s="88"/>
      <c r="K197" s="88"/>
      <c r="L197" s="88"/>
      <c r="M197" s="88"/>
      <c r="N197" s="88"/>
      <c r="O197" s="88"/>
    </row>
    <row r="198" spans="2:15" ht="12.75">
      <c r="B198" s="88"/>
      <c r="C198" s="88"/>
      <c r="D198" s="88"/>
      <c r="E198" s="88"/>
      <c r="F198" s="88"/>
      <c r="G198" s="88"/>
      <c r="H198" s="88"/>
      <c r="I198" s="88"/>
      <c r="J198" s="88"/>
      <c r="K198" s="88"/>
      <c r="L198" s="88"/>
      <c r="M198" s="88"/>
      <c r="N198" s="88"/>
      <c r="O198" s="88"/>
    </row>
    <row r="199" spans="2:15" ht="12.75">
      <c r="B199" s="88"/>
      <c r="C199" s="88"/>
      <c r="D199" s="88"/>
      <c r="E199" s="88"/>
      <c r="F199" s="88"/>
      <c r="G199" s="88"/>
      <c r="H199" s="88"/>
      <c r="I199" s="88"/>
      <c r="J199" s="88"/>
      <c r="K199" s="88"/>
      <c r="L199" s="88"/>
      <c r="M199" s="88"/>
      <c r="N199" s="88"/>
      <c r="O199" s="88"/>
    </row>
    <row r="200" spans="2:15" ht="12.75">
      <c r="B200" s="88"/>
      <c r="C200" s="88"/>
      <c r="D200" s="88"/>
      <c r="E200" s="88"/>
      <c r="F200" s="88"/>
      <c r="G200" s="88"/>
      <c r="H200" s="88"/>
      <c r="I200" s="88"/>
      <c r="J200" s="88"/>
      <c r="K200" s="88"/>
      <c r="L200" s="88"/>
      <c r="M200" s="88"/>
      <c r="N200" s="88"/>
      <c r="O200" s="88"/>
    </row>
    <row r="201" spans="2:15" ht="12.75">
      <c r="B201" s="88"/>
      <c r="C201" s="88"/>
      <c r="D201" s="88"/>
      <c r="E201" s="88"/>
      <c r="F201" s="88"/>
      <c r="G201" s="88"/>
      <c r="H201" s="88"/>
      <c r="I201" s="88"/>
      <c r="J201" s="88"/>
      <c r="K201" s="88"/>
      <c r="L201" s="88"/>
      <c r="M201" s="88"/>
      <c r="N201" s="88"/>
      <c r="O201" s="88"/>
    </row>
    <row r="202" spans="2:15" ht="12.75">
      <c r="B202" s="88"/>
      <c r="C202" s="88"/>
      <c r="D202" s="88"/>
      <c r="E202" s="88"/>
      <c r="F202" s="88"/>
      <c r="G202" s="88"/>
      <c r="H202" s="88"/>
      <c r="I202" s="88"/>
      <c r="J202" s="88"/>
      <c r="K202" s="88"/>
      <c r="L202" s="88"/>
      <c r="M202" s="88"/>
      <c r="N202" s="88"/>
      <c r="O202" s="88"/>
    </row>
    <row r="203" spans="2:15" ht="12.75">
      <c r="B203" s="88"/>
      <c r="C203" s="88"/>
      <c r="D203" s="88"/>
      <c r="E203" s="88"/>
      <c r="F203" s="88"/>
      <c r="G203" s="88"/>
      <c r="H203" s="88"/>
      <c r="I203" s="88"/>
      <c r="J203" s="88"/>
      <c r="K203" s="88"/>
      <c r="L203" s="88"/>
      <c r="M203" s="88"/>
      <c r="N203" s="88"/>
      <c r="O203" s="88"/>
    </row>
    <row r="204" spans="2:15" ht="12.75">
      <c r="B204" s="88"/>
      <c r="C204" s="88"/>
      <c r="D204" s="88"/>
      <c r="E204" s="88"/>
      <c r="F204" s="88"/>
      <c r="G204" s="88"/>
      <c r="H204" s="88"/>
      <c r="I204" s="88"/>
      <c r="J204" s="88"/>
      <c r="K204" s="88"/>
      <c r="L204" s="88"/>
      <c r="M204" s="88"/>
      <c r="N204" s="88"/>
      <c r="O204" s="88"/>
    </row>
    <row r="205" spans="2:15" ht="12.75">
      <c r="B205" s="88"/>
      <c r="C205" s="88"/>
      <c r="D205" s="88"/>
      <c r="E205" s="88"/>
      <c r="F205" s="88"/>
      <c r="G205" s="88"/>
      <c r="H205" s="88"/>
      <c r="I205" s="88"/>
      <c r="J205" s="88"/>
      <c r="K205" s="88"/>
      <c r="L205" s="88"/>
      <c r="M205" s="88"/>
      <c r="N205" s="88"/>
      <c r="O205" s="88"/>
    </row>
    <row r="206" spans="2:15" ht="12.75">
      <c r="B206" s="88"/>
      <c r="C206" s="88"/>
      <c r="D206" s="88"/>
      <c r="E206" s="88"/>
      <c r="F206" s="88"/>
      <c r="G206" s="88"/>
      <c r="H206" s="88"/>
      <c r="I206" s="88"/>
      <c r="J206" s="88"/>
      <c r="K206" s="88"/>
      <c r="L206" s="88"/>
      <c r="M206" s="88"/>
      <c r="N206" s="88"/>
      <c r="O206" s="88"/>
    </row>
    <row r="207" spans="2:15" ht="12.75">
      <c r="B207" s="88"/>
      <c r="C207" s="88"/>
      <c r="D207" s="88"/>
      <c r="E207" s="88"/>
      <c r="F207" s="88"/>
      <c r="G207" s="88"/>
      <c r="H207" s="88"/>
      <c r="I207" s="88"/>
      <c r="J207" s="88"/>
      <c r="K207" s="88"/>
      <c r="L207" s="88"/>
      <c r="M207" s="88"/>
      <c r="N207" s="88"/>
      <c r="O207" s="88"/>
    </row>
    <row r="208" spans="2:15" ht="12.75">
      <c r="B208" s="88"/>
      <c r="C208" s="88"/>
      <c r="D208" s="88"/>
      <c r="E208" s="88"/>
      <c r="F208" s="88"/>
      <c r="G208" s="88"/>
      <c r="H208" s="88"/>
      <c r="I208" s="88"/>
      <c r="J208" s="88"/>
      <c r="K208" s="88"/>
      <c r="L208" s="88"/>
      <c r="M208" s="88"/>
      <c r="N208" s="88"/>
      <c r="O208" s="88"/>
    </row>
    <row r="209" spans="2:15" ht="12.75">
      <c r="B209" s="88"/>
      <c r="C209" s="88"/>
      <c r="D209" s="88"/>
      <c r="E209" s="88"/>
      <c r="F209" s="88"/>
      <c r="G209" s="88"/>
      <c r="H209" s="88"/>
      <c r="I209" s="88"/>
      <c r="J209" s="88"/>
      <c r="K209" s="88"/>
      <c r="L209" s="88"/>
      <c r="M209" s="88"/>
      <c r="N209" s="88"/>
      <c r="O209" s="88"/>
    </row>
    <row r="210" spans="2:15" ht="12.75">
      <c r="B210" s="88"/>
      <c r="C210" s="88"/>
      <c r="D210" s="88"/>
      <c r="E210" s="88"/>
      <c r="F210" s="88"/>
      <c r="G210" s="88"/>
      <c r="H210" s="88"/>
      <c r="I210" s="88"/>
      <c r="J210" s="88"/>
      <c r="K210" s="88"/>
      <c r="L210" s="88"/>
      <c r="M210" s="88"/>
      <c r="N210" s="88"/>
      <c r="O210" s="88"/>
    </row>
    <row r="211" spans="2:15" ht="12.75">
      <c r="B211" s="88"/>
      <c r="C211" s="88"/>
      <c r="D211" s="88"/>
      <c r="E211" s="88"/>
      <c r="F211" s="88"/>
      <c r="G211" s="88"/>
      <c r="H211" s="88"/>
      <c r="I211" s="88"/>
      <c r="J211" s="88"/>
      <c r="K211" s="88"/>
      <c r="L211" s="88"/>
      <c r="M211" s="88"/>
      <c r="N211" s="88"/>
      <c r="O211" s="88"/>
    </row>
    <row r="212" spans="2:15" ht="12.75">
      <c r="B212" s="88"/>
      <c r="C212" s="88"/>
      <c r="D212" s="88"/>
      <c r="E212" s="88"/>
      <c r="F212" s="88"/>
      <c r="G212" s="88"/>
      <c r="H212" s="88"/>
      <c r="I212" s="88"/>
      <c r="J212" s="88"/>
      <c r="K212" s="88"/>
      <c r="L212" s="88"/>
      <c r="M212" s="88"/>
      <c r="N212" s="88"/>
      <c r="O212" s="88"/>
    </row>
    <row r="213" spans="2:15" ht="12.75">
      <c r="B213" s="88"/>
      <c r="C213" s="88"/>
      <c r="D213" s="88"/>
      <c r="E213" s="88"/>
      <c r="F213" s="88"/>
      <c r="G213" s="88"/>
      <c r="H213" s="88"/>
      <c r="I213" s="88"/>
      <c r="J213" s="88"/>
      <c r="K213" s="88"/>
      <c r="L213" s="88"/>
      <c r="M213" s="88"/>
      <c r="N213" s="88"/>
      <c r="O213" s="88"/>
    </row>
    <row r="214" spans="2:15" ht="12.75">
      <c r="B214" s="88"/>
      <c r="C214" s="88"/>
      <c r="D214" s="88"/>
      <c r="E214" s="88"/>
      <c r="F214" s="88"/>
      <c r="G214" s="88"/>
      <c r="H214" s="88"/>
      <c r="I214" s="88"/>
      <c r="J214" s="88"/>
      <c r="K214" s="88"/>
      <c r="L214" s="88"/>
      <c r="M214" s="88"/>
      <c r="N214" s="88"/>
      <c r="O214" s="88"/>
    </row>
    <row r="215" spans="2:15" ht="12.75">
      <c r="B215" s="88"/>
      <c r="C215" s="88"/>
      <c r="D215" s="88"/>
      <c r="E215" s="88"/>
      <c r="F215" s="88"/>
      <c r="G215" s="88"/>
      <c r="H215" s="88"/>
      <c r="I215" s="88"/>
      <c r="J215" s="88"/>
      <c r="K215" s="88"/>
      <c r="L215" s="88"/>
      <c r="M215" s="88"/>
      <c r="N215" s="88"/>
      <c r="O215" s="88"/>
    </row>
    <row r="216" spans="2:15" ht="12.75">
      <c r="B216" s="88"/>
      <c r="C216" s="88"/>
      <c r="D216" s="88"/>
      <c r="E216" s="88"/>
      <c r="F216" s="88"/>
      <c r="G216" s="88"/>
      <c r="H216" s="88"/>
      <c r="I216" s="88"/>
      <c r="J216" s="88"/>
      <c r="K216" s="88"/>
      <c r="L216" s="88"/>
      <c r="M216" s="88"/>
      <c r="N216" s="88"/>
      <c r="O216" s="88"/>
    </row>
    <row r="217" spans="2:15" ht="12.75">
      <c r="B217" s="88"/>
      <c r="C217" s="88"/>
      <c r="D217" s="88"/>
      <c r="E217" s="88"/>
      <c r="F217" s="88"/>
      <c r="G217" s="88"/>
      <c r="H217" s="88"/>
      <c r="I217" s="88"/>
      <c r="J217" s="88"/>
      <c r="K217" s="88"/>
      <c r="L217" s="88"/>
      <c r="M217" s="88"/>
      <c r="N217" s="88"/>
      <c r="O217" s="88"/>
    </row>
    <row r="218" spans="2:15" ht="12.75">
      <c r="B218" s="88"/>
      <c r="C218" s="88"/>
      <c r="D218" s="88"/>
      <c r="E218" s="88"/>
      <c r="F218" s="88"/>
      <c r="G218" s="88"/>
      <c r="H218" s="88"/>
      <c r="I218" s="88"/>
      <c r="J218" s="88"/>
      <c r="K218" s="88"/>
      <c r="L218" s="88"/>
      <c r="M218" s="88"/>
      <c r="N218" s="88"/>
      <c r="O218" s="88"/>
    </row>
    <row r="219" spans="2:15" ht="12.75">
      <c r="B219" s="88"/>
      <c r="C219" s="88"/>
      <c r="D219" s="88"/>
      <c r="E219" s="88"/>
      <c r="F219" s="88"/>
      <c r="G219" s="88"/>
      <c r="H219" s="88"/>
      <c r="I219" s="88"/>
      <c r="J219" s="88"/>
      <c r="K219" s="88"/>
      <c r="L219" s="88"/>
      <c r="M219" s="88"/>
      <c r="N219" s="88"/>
      <c r="O219" s="88"/>
    </row>
    <row r="220" spans="2:15" ht="12.75">
      <c r="B220" s="88"/>
      <c r="C220" s="88"/>
      <c r="D220" s="88"/>
      <c r="E220" s="88"/>
      <c r="F220" s="88"/>
      <c r="G220" s="88"/>
      <c r="H220" s="88"/>
      <c r="I220" s="88"/>
      <c r="J220" s="88"/>
      <c r="K220" s="88"/>
      <c r="L220" s="88"/>
      <c r="M220" s="88"/>
      <c r="N220" s="88"/>
      <c r="O220" s="88"/>
    </row>
    <row r="221" spans="2:15" ht="12.75">
      <c r="B221" s="88"/>
      <c r="C221" s="88"/>
      <c r="D221" s="88"/>
      <c r="E221" s="88"/>
      <c r="F221" s="88"/>
      <c r="G221" s="88"/>
      <c r="H221" s="88"/>
      <c r="I221" s="88"/>
      <c r="J221" s="88"/>
      <c r="K221" s="88"/>
      <c r="L221" s="88"/>
      <c r="M221" s="88"/>
      <c r="N221" s="88"/>
      <c r="O221" s="88"/>
    </row>
    <row r="222" spans="2:15" ht="12.75">
      <c r="B222" s="88"/>
      <c r="C222" s="88"/>
      <c r="D222" s="88"/>
      <c r="E222" s="88"/>
      <c r="F222" s="88"/>
      <c r="G222" s="88"/>
      <c r="H222" s="88"/>
      <c r="I222" s="88"/>
      <c r="J222" s="88"/>
      <c r="K222" s="88"/>
      <c r="L222" s="88"/>
      <c r="M222" s="88"/>
      <c r="N222" s="88"/>
      <c r="O222" s="88"/>
    </row>
    <row r="223" spans="2:15" ht="12.75">
      <c r="B223" s="88"/>
      <c r="C223" s="88"/>
      <c r="D223" s="88"/>
      <c r="E223" s="88"/>
      <c r="F223" s="88"/>
      <c r="G223" s="88"/>
      <c r="H223" s="88"/>
      <c r="I223" s="88"/>
      <c r="J223" s="88"/>
      <c r="K223" s="88"/>
      <c r="L223" s="88"/>
      <c r="M223" s="88"/>
      <c r="N223" s="88"/>
      <c r="O223" s="88"/>
    </row>
    <row r="224" spans="2:15" ht="12.75">
      <c r="B224" s="88"/>
      <c r="C224" s="88"/>
      <c r="D224" s="88"/>
      <c r="E224" s="88"/>
      <c r="F224" s="88"/>
      <c r="G224" s="88"/>
      <c r="H224" s="88"/>
      <c r="I224" s="88"/>
      <c r="J224" s="88"/>
      <c r="K224" s="88"/>
      <c r="L224" s="88"/>
      <c r="M224" s="88"/>
      <c r="N224" s="88"/>
      <c r="O224" s="88"/>
    </row>
    <row r="225" spans="2:15" ht="12.75">
      <c r="B225" s="88"/>
      <c r="C225" s="88"/>
      <c r="D225" s="88"/>
      <c r="E225" s="88"/>
      <c r="F225" s="88"/>
      <c r="G225" s="88"/>
      <c r="H225" s="88"/>
      <c r="I225" s="88"/>
      <c r="J225" s="88"/>
      <c r="K225" s="88"/>
      <c r="L225" s="88"/>
      <c r="M225" s="88"/>
      <c r="N225" s="88"/>
      <c r="O225" s="88"/>
    </row>
    <row r="226" spans="2:15" ht="12.75">
      <c r="B226" s="88"/>
      <c r="C226" s="88"/>
      <c r="D226" s="88"/>
      <c r="E226" s="88"/>
      <c r="F226" s="88"/>
      <c r="G226" s="88"/>
      <c r="H226" s="88"/>
      <c r="I226" s="88"/>
      <c r="J226" s="88"/>
      <c r="K226" s="88"/>
      <c r="L226" s="88"/>
      <c r="M226" s="88"/>
      <c r="N226" s="88"/>
      <c r="O226" s="88"/>
    </row>
    <row r="227" spans="2:15" ht="12.75">
      <c r="B227" s="88"/>
      <c r="C227" s="88"/>
      <c r="D227" s="88"/>
      <c r="E227" s="88"/>
      <c r="F227" s="88"/>
      <c r="G227" s="88"/>
      <c r="H227" s="88"/>
      <c r="I227" s="88"/>
      <c r="J227" s="88"/>
      <c r="K227" s="88"/>
      <c r="L227" s="88"/>
      <c r="M227" s="88"/>
      <c r="N227" s="88"/>
      <c r="O227" s="88"/>
    </row>
    <row r="228" spans="2:15" ht="12.75">
      <c r="B228" s="88"/>
      <c r="C228" s="88"/>
      <c r="D228" s="88"/>
      <c r="E228" s="88"/>
      <c r="F228" s="88"/>
      <c r="G228" s="88"/>
      <c r="H228" s="88"/>
      <c r="I228" s="88"/>
      <c r="J228" s="88"/>
      <c r="K228" s="88"/>
      <c r="L228" s="88"/>
      <c r="M228" s="88"/>
      <c r="N228" s="88"/>
      <c r="O228" s="88"/>
    </row>
    <row r="229" spans="2:15" ht="12.75">
      <c r="B229" s="88"/>
      <c r="C229" s="88"/>
      <c r="D229" s="88"/>
      <c r="E229" s="88"/>
      <c r="F229" s="88"/>
      <c r="G229" s="88"/>
      <c r="H229" s="88"/>
      <c r="I229" s="88"/>
      <c r="J229" s="88"/>
      <c r="K229" s="88"/>
      <c r="L229" s="88"/>
      <c r="M229" s="88"/>
      <c r="N229" s="88"/>
      <c r="O229" s="88"/>
    </row>
    <row r="230" spans="2:15" ht="12.75">
      <c r="B230" s="88"/>
      <c r="C230" s="88"/>
      <c r="D230" s="88"/>
      <c r="E230" s="88"/>
      <c r="F230" s="88"/>
      <c r="G230" s="88"/>
      <c r="H230" s="88"/>
      <c r="I230" s="88"/>
      <c r="J230" s="88"/>
      <c r="K230" s="88"/>
      <c r="L230" s="88"/>
      <c r="M230" s="88"/>
      <c r="N230" s="88"/>
      <c r="O230" s="88"/>
    </row>
    <row r="231" spans="2:15" ht="12.75">
      <c r="B231" s="88"/>
      <c r="C231" s="88"/>
      <c r="D231" s="88"/>
      <c r="E231" s="88"/>
      <c r="F231" s="88"/>
      <c r="G231" s="88"/>
      <c r="H231" s="88"/>
      <c r="I231" s="88"/>
      <c r="J231" s="88"/>
      <c r="K231" s="88"/>
      <c r="L231" s="88"/>
      <c r="M231" s="88"/>
      <c r="N231" s="88"/>
      <c r="O231" s="88"/>
    </row>
    <row r="232" spans="2:15" ht="12.75">
      <c r="B232" s="88"/>
      <c r="C232" s="88"/>
      <c r="D232" s="88"/>
      <c r="E232" s="88"/>
      <c r="F232" s="88"/>
      <c r="G232" s="88"/>
      <c r="H232" s="88"/>
      <c r="I232" s="88"/>
      <c r="J232" s="88"/>
      <c r="K232" s="88"/>
      <c r="L232" s="88"/>
      <c r="M232" s="88"/>
      <c r="N232" s="88"/>
      <c r="O232" s="88"/>
    </row>
    <row r="233" spans="2:15" ht="12.75">
      <c r="B233" s="88"/>
      <c r="C233" s="88"/>
      <c r="D233" s="88"/>
      <c r="E233" s="88"/>
      <c r="F233" s="88"/>
      <c r="G233" s="88"/>
      <c r="H233" s="88"/>
      <c r="I233" s="88"/>
      <c r="J233" s="88"/>
      <c r="K233" s="88"/>
      <c r="L233" s="88"/>
      <c r="M233" s="88"/>
      <c r="N233" s="88"/>
      <c r="O233" s="88"/>
    </row>
    <row r="234" spans="2:15" ht="12.75">
      <c r="B234" s="88"/>
      <c r="C234" s="88"/>
      <c r="D234" s="88"/>
      <c r="E234" s="88"/>
      <c r="F234" s="88"/>
      <c r="G234" s="88"/>
      <c r="H234" s="88"/>
      <c r="I234" s="88"/>
      <c r="J234" s="88"/>
      <c r="K234" s="88"/>
      <c r="L234" s="88"/>
      <c r="M234" s="88"/>
      <c r="N234" s="88"/>
      <c r="O234" s="88"/>
    </row>
    <row r="235" spans="2:15" ht="12.75">
      <c r="B235" s="88"/>
      <c r="C235" s="88"/>
      <c r="D235" s="88"/>
      <c r="E235" s="88"/>
      <c r="F235" s="88"/>
      <c r="G235" s="88"/>
      <c r="H235" s="88"/>
      <c r="I235" s="88"/>
      <c r="J235" s="88"/>
      <c r="K235" s="88"/>
      <c r="L235" s="88"/>
      <c r="M235" s="88"/>
      <c r="N235" s="88"/>
      <c r="O235" s="88"/>
    </row>
    <row r="236" spans="2:15" ht="12.75">
      <c r="B236" s="88"/>
      <c r="C236" s="88"/>
      <c r="D236" s="88"/>
      <c r="E236" s="88"/>
      <c r="F236" s="88"/>
      <c r="G236" s="88"/>
      <c r="H236" s="88"/>
      <c r="I236" s="88"/>
      <c r="J236" s="88"/>
      <c r="K236" s="88"/>
      <c r="L236" s="88"/>
      <c r="M236" s="88"/>
      <c r="N236" s="88"/>
      <c r="O236" s="88"/>
    </row>
    <row r="237" spans="2:15" ht="12.75">
      <c r="B237" s="88"/>
      <c r="C237" s="88"/>
      <c r="D237" s="88"/>
      <c r="E237" s="88"/>
      <c r="F237" s="88"/>
      <c r="G237" s="88"/>
      <c r="H237" s="88"/>
      <c r="I237" s="88"/>
      <c r="J237" s="88"/>
      <c r="K237" s="88"/>
      <c r="L237" s="88"/>
      <c r="M237" s="88"/>
      <c r="N237" s="88"/>
      <c r="O237" s="88"/>
    </row>
    <row r="238" spans="2:15" ht="12.75">
      <c r="B238" s="88"/>
      <c r="C238" s="88"/>
      <c r="D238" s="88"/>
      <c r="E238" s="88"/>
      <c r="F238" s="88"/>
      <c r="G238" s="88"/>
      <c r="H238" s="88"/>
      <c r="I238" s="88"/>
      <c r="J238" s="88"/>
      <c r="K238" s="88"/>
      <c r="L238" s="88"/>
      <c r="M238" s="88"/>
      <c r="N238" s="88"/>
      <c r="O238" s="88"/>
    </row>
    <row r="239" spans="2:15" ht="12.75">
      <c r="B239" s="88"/>
      <c r="C239" s="88"/>
      <c r="D239" s="88"/>
      <c r="E239" s="88"/>
      <c r="F239" s="88"/>
      <c r="G239" s="88"/>
      <c r="H239" s="88"/>
      <c r="I239" s="88"/>
      <c r="J239" s="88"/>
      <c r="K239" s="88"/>
      <c r="L239" s="88"/>
      <c r="M239" s="88"/>
      <c r="N239" s="88"/>
      <c r="O239" s="88"/>
    </row>
    <row r="240" spans="2:15" ht="12.75">
      <c r="B240" s="88"/>
      <c r="C240" s="88"/>
      <c r="D240" s="88"/>
      <c r="E240" s="88"/>
      <c r="F240" s="88"/>
      <c r="G240" s="88"/>
      <c r="H240" s="88"/>
      <c r="I240" s="88"/>
      <c r="J240" s="88"/>
      <c r="K240" s="88"/>
      <c r="L240" s="88"/>
      <c r="M240" s="88"/>
      <c r="N240" s="88"/>
      <c r="O240" s="88"/>
    </row>
    <row r="241" spans="2:15" ht="12.75">
      <c r="B241" s="88"/>
      <c r="C241" s="88"/>
      <c r="D241" s="88"/>
      <c r="E241" s="88"/>
      <c r="F241" s="88"/>
      <c r="G241" s="88"/>
      <c r="H241" s="88"/>
      <c r="I241" s="88"/>
      <c r="J241" s="88"/>
      <c r="K241" s="88"/>
      <c r="L241" s="88"/>
      <c r="M241" s="88"/>
      <c r="N241" s="88"/>
      <c r="O241" s="88"/>
    </row>
    <row r="242" spans="2:15" ht="12.75">
      <c r="B242" s="88"/>
      <c r="C242" s="88"/>
      <c r="D242" s="88"/>
      <c r="E242" s="88"/>
      <c r="F242" s="88"/>
      <c r="G242" s="88"/>
      <c r="H242" s="88"/>
      <c r="I242" s="88"/>
      <c r="J242" s="88"/>
      <c r="K242" s="88"/>
      <c r="L242" s="88"/>
      <c r="M242" s="88"/>
      <c r="N242" s="88"/>
      <c r="O242" s="88"/>
    </row>
    <row r="243" spans="2:15" ht="12.75">
      <c r="B243" s="88"/>
      <c r="C243" s="88"/>
      <c r="D243" s="88"/>
      <c r="E243" s="88"/>
      <c r="F243" s="88"/>
      <c r="G243" s="88"/>
      <c r="H243" s="88"/>
      <c r="I243" s="88"/>
      <c r="J243" s="88"/>
      <c r="K243" s="88"/>
      <c r="L243" s="88"/>
      <c r="M243" s="88"/>
      <c r="N243" s="88"/>
      <c r="O243" s="88"/>
    </row>
    <row r="244" spans="2:15" ht="12.75">
      <c r="B244" s="88"/>
      <c r="C244" s="88"/>
      <c r="D244" s="88"/>
      <c r="E244" s="88"/>
      <c r="F244" s="88"/>
      <c r="G244" s="88"/>
      <c r="H244" s="88"/>
      <c r="I244" s="88"/>
      <c r="J244" s="88"/>
      <c r="K244" s="88"/>
      <c r="L244" s="88"/>
      <c r="M244" s="88"/>
      <c r="N244" s="88"/>
      <c r="O244" s="88"/>
    </row>
    <row r="245" spans="2:15" ht="12.75">
      <c r="B245" s="88"/>
      <c r="C245" s="88"/>
      <c r="D245" s="88"/>
      <c r="E245" s="88"/>
      <c r="F245" s="88"/>
      <c r="G245" s="88"/>
      <c r="H245" s="88"/>
      <c r="I245" s="88"/>
      <c r="J245" s="88"/>
      <c r="K245" s="88"/>
      <c r="L245" s="88"/>
      <c r="M245" s="88"/>
      <c r="N245" s="88"/>
      <c r="O245" s="88"/>
    </row>
    <row r="246" spans="2:15" ht="12.75">
      <c r="B246" s="88"/>
      <c r="C246" s="88"/>
      <c r="D246" s="88"/>
      <c r="E246" s="88"/>
      <c r="F246" s="88"/>
      <c r="G246" s="88"/>
      <c r="H246" s="88"/>
      <c r="I246" s="88"/>
      <c r="J246" s="88"/>
      <c r="K246" s="88"/>
      <c r="L246" s="88"/>
      <c r="M246" s="88"/>
      <c r="N246" s="88"/>
      <c r="O246" s="88"/>
    </row>
    <row r="247" spans="2:15" ht="12.75">
      <c r="B247" s="88"/>
      <c r="C247" s="88"/>
      <c r="D247" s="88"/>
      <c r="E247" s="88"/>
      <c r="F247" s="88"/>
      <c r="G247" s="88"/>
      <c r="H247" s="88"/>
      <c r="I247" s="88"/>
      <c r="J247" s="88"/>
      <c r="K247" s="88"/>
      <c r="L247" s="88"/>
      <c r="M247" s="88"/>
      <c r="N247" s="88"/>
      <c r="O247" s="88"/>
    </row>
    <row r="248" spans="2:15" ht="12.75">
      <c r="B248" s="88"/>
      <c r="C248" s="88"/>
      <c r="D248" s="88"/>
      <c r="E248" s="88"/>
      <c r="F248" s="88"/>
      <c r="G248" s="88"/>
      <c r="H248" s="88"/>
      <c r="I248" s="88"/>
      <c r="J248" s="88"/>
      <c r="K248" s="88"/>
      <c r="L248" s="88"/>
      <c r="M248" s="88"/>
      <c r="N248" s="88"/>
      <c r="O248" s="88"/>
    </row>
    <row r="249" spans="2:15" ht="12.75">
      <c r="B249" s="88"/>
      <c r="C249" s="88"/>
      <c r="D249" s="88"/>
      <c r="E249" s="88"/>
      <c r="F249" s="88"/>
      <c r="G249" s="88"/>
      <c r="H249" s="88"/>
      <c r="I249" s="88"/>
      <c r="J249" s="88"/>
      <c r="K249" s="88"/>
      <c r="L249" s="88"/>
      <c r="M249" s="88"/>
      <c r="N249" s="88"/>
      <c r="O249" s="88"/>
    </row>
    <row r="250" spans="2:15" ht="12.75">
      <c r="B250" s="88"/>
      <c r="C250" s="88"/>
      <c r="D250" s="88"/>
      <c r="E250" s="88"/>
      <c r="F250" s="88"/>
      <c r="G250" s="88"/>
      <c r="H250" s="88"/>
      <c r="I250" s="88"/>
      <c r="J250" s="88"/>
      <c r="K250" s="88"/>
      <c r="L250" s="88"/>
      <c r="M250" s="88"/>
      <c r="N250" s="88"/>
      <c r="O250" s="88"/>
    </row>
    <row r="251" spans="2:15" ht="12.75">
      <c r="B251" s="88"/>
      <c r="C251" s="88"/>
      <c r="D251" s="88"/>
      <c r="E251" s="88"/>
      <c r="F251" s="88"/>
      <c r="G251" s="88"/>
      <c r="H251" s="88"/>
      <c r="I251" s="88"/>
      <c r="J251" s="88"/>
      <c r="K251" s="88"/>
      <c r="L251" s="88"/>
      <c r="M251" s="88"/>
      <c r="N251" s="88"/>
      <c r="O251" s="88"/>
    </row>
    <row r="252" spans="2:15" ht="12.75">
      <c r="B252" s="88"/>
      <c r="C252" s="88"/>
      <c r="D252" s="88"/>
      <c r="E252" s="88"/>
      <c r="F252" s="88"/>
      <c r="G252" s="88"/>
      <c r="H252" s="88"/>
      <c r="I252" s="88"/>
      <c r="J252" s="88"/>
      <c r="K252" s="88"/>
      <c r="L252" s="88"/>
      <c r="M252" s="88"/>
      <c r="N252" s="88"/>
      <c r="O252" s="88"/>
    </row>
    <row r="253" spans="2:15" ht="12.75">
      <c r="B253" s="88"/>
      <c r="C253" s="88"/>
      <c r="D253" s="88"/>
      <c r="E253" s="88"/>
      <c r="F253" s="88"/>
      <c r="G253" s="88"/>
      <c r="H253" s="88"/>
      <c r="I253" s="88"/>
      <c r="J253" s="88"/>
      <c r="K253" s="88"/>
      <c r="L253" s="88"/>
      <c r="M253" s="88"/>
      <c r="N253" s="88"/>
      <c r="O253" s="88"/>
    </row>
    <row r="254" spans="2:15" ht="12.75">
      <c r="B254" s="88"/>
      <c r="C254" s="88"/>
      <c r="D254" s="88"/>
      <c r="E254" s="88"/>
      <c r="F254" s="88"/>
      <c r="G254" s="88"/>
      <c r="H254" s="88"/>
      <c r="I254" s="88"/>
      <c r="J254" s="88"/>
      <c r="K254" s="88"/>
      <c r="L254" s="88"/>
      <c r="M254" s="88"/>
      <c r="N254" s="88"/>
      <c r="O254" s="88"/>
    </row>
    <row r="255" spans="2:15" ht="12.75">
      <c r="B255" s="88"/>
      <c r="C255" s="88"/>
      <c r="D255" s="88"/>
      <c r="E255" s="88"/>
      <c r="F255" s="88"/>
      <c r="G255" s="88"/>
      <c r="H255" s="88"/>
      <c r="I255" s="88"/>
      <c r="J255" s="88"/>
      <c r="K255" s="88"/>
      <c r="L255" s="88"/>
      <c r="M255" s="88"/>
      <c r="N255" s="88"/>
      <c r="O255" s="88"/>
    </row>
    <row r="256" spans="2:15" ht="12.75">
      <c r="B256" s="88"/>
      <c r="C256" s="88"/>
      <c r="D256" s="88"/>
      <c r="E256" s="88"/>
      <c r="F256" s="88"/>
      <c r="G256" s="88"/>
      <c r="H256" s="88"/>
      <c r="I256" s="88"/>
      <c r="J256" s="88"/>
      <c r="K256" s="88"/>
      <c r="L256" s="88"/>
      <c r="M256" s="88"/>
      <c r="N256" s="88"/>
      <c r="O256" s="88"/>
    </row>
    <row r="257" spans="2:15" ht="12.75">
      <c r="B257" s="88"/>
      <c r="C257" s="88"/>
      <c r="D257" s="88"/>
      <c r="E257" s="88"/>
      <c r="F257" s="88"/>
      <c r="G257" s="88"/>
      <c r="H257" s="88"/>
      <c r="I257" s="88"/>
      <c r="J257" s="88"/>
      <c r="K257" s="88"/>
      <c r="L257" s="88"/>
      <c r="M257" s="88"/>
      <c r="N257" s="88"/>
      <c r="O257" s="88"/>
    </row>
    <row r="258" spans="2:15" ht="12.75">
      <c r="B258" s="88"/>
      <c r="C258" s="88"/>
      <c r="D258" s="88"/>
      <c r="E258" s="88"/>
      <c r="F258" s="88"/>
      <c r="G258" s="88"/>
      <c r="H258" s="88"/>
      <c r="I258" s="88"/>
      <c r="J258" s="88"/>
      <c r="K258" s="88"/>
      <c r="L258" s="88"/>
      <c r="M258" s="88"/>
      <c r="N258" s="88"/>
      <c r="O258" s="88"/>
    </row>
    <row r="259" spans="2:15" ht="12.75">
      <c r="B259" s="88"/>
      <c r="C259" s="88"/>
      <c r="D259" s="88"/>
      <c r="E259" s="88"/>
      <c r="F259" s="88"/>
      <c r="G259" s="88"/>
      <c r="H259" s="88"/>
      <c r="I259" s="88"/>
      <c r="J259" s="88"/>
      <c r="K259" s="88"/>
      <c r="L259" s="88"/>
      <c r="M259" s="88"/>
      <c r="N259" s="88"/>
      <c r="O259" s="88"/>
    </row>
    <row r="260" spans="2:15" ht="12.75">
      <c r="B260" s="88"/>
      <c r="C260" s="88"/>
      <c r="D260" s="88"/>
      <c r="E260" s="88"/>
      <c r="F260" s="88"/>
      <c r="G260" s="88"/>
      <c r="H260" s="88"/>
      <c r="I260" s="88"/>
      <c r="J260" s="88"/>
      <c r="K260" s="88"/>
      <c r="L260" s="88"/>
      <c r="M260" s="88"/>
      <c r="N260" s="88"/>
      <c r="O260" s="88"/>
    </row>
    <row r="261" spans="2:15" ht="12.75">
      <c r="B261" s="88"/>
      <c r="C261" s="88"/>
      <c r="D261" s="88"/>
      <c r="E261" s="88"/>
      <c r="F261" s="88"/>
      <c r="G261" s="88"/>
      <c r="H261" s="88"/>
      <c r="I261" s="88"/>
      <c r="J261" s="88"/>
      <c r="K261" s="88"/>
      <c r="L261" s="88"/>
      <c r="M261" s="88"/>
      <c r="N261" s="88"/>
      <c r="O261" s="88"/>
    </row>
    <row r="262" spans="2:15" ht="12.75">
      <c r="B262" s="88"/>
      <c r="C262" s="88"/>
      <c r="D262" s="88"/>
      <c r="E262" s="88"/>
      <c r="F262" s="88"/>
      <c r="G262" s="88"/>
      <c r="H262" s="88"/>
      <c r="I262" s="88"/>
      <c r="J262" s="88"/>
      <c r="K262" s="88"/>
      <c r="L262" s="88"/>
      <c r="M262" s="88"/>
      <c r="N262" s="88"/>
      <c r="O262" s="88"/>
    </row>
    <row r="263" spans="2:15" ht="12.75">
      <c r="B263" s="88"/>
      <c r="C263" s="88"/>
      <c r="D263" s="88"/>
      <c r="E263" s="88"/>
      <c r="F263" s="88"/>
      <c r="G263" s="88"/>
      <c r="H263" s="88"/>
      <c r="I263" s="88"/>
      <c r="J263" s="88"/>
      <c r="K263" s="88"/>
      <c r="L263" s="88"/>
      <c r="M263" s="88"/>
      <c r="N263" s="88"/>
      <c r="O263" s="88"/>
    </row>
    <row r="264" spans="2:15" ht="12.75">
      <c r="B264" s="88"/>
      <c r="C264" s="88"/>
      <c r="D264" s="88"/>
      <c r="E264" s="88"/>
      <c r="F264" s="88"/>
      <c r="G264" s="88"/>
      <c r="H264" s="88"/>
      <c r="I264" s="88"/>
      <c r="J264" s="88"/>
      <c r="K264" s="88"/>
      <c r="L264" s="88"/>
      <c r="M264" s="88"/>
      <c r="N264" s="88"/>
      <c r="O264" s="88"/>
    </row>
    <row r="265" spans="2:15" ht="12.75">
      <c r="B265" s="88"/>
      <c r="C265" s="88"/>
      <c r="D265" s="88"/>
      <c r="E265" s="88"/>
      <c r="F265" s="88"/>
      <c r="G265" s="88"/>
      <c r="H265" s="88"/>
      <c r="I265" s="88"/>
      <c r="J265" s="88"/>
      <c r="K265" s="88"/>
      <c r="L265" s="88"/>
      <c r="M265" s="88"/>
      <c r="N265" s="88"/>
      <c r="O265" s="88"/>
    </row>
    <row r="266" spans="2:15" ht="12.75">
      <c r="B266" s="88"/>
      <c r="C266" s="88"/>
      <c r="D266" s="88"/>
      <c r="E266" s="88"/>
      <c r="F266" s="88"/>
      <c r="G266" s="88"/>
      <c r="H266" s="88"/>
      <c r="I266" s="88"/>
      <c r="J266" s="88"/>
      <c r="K266" s="88"/>
      <c r="L266" s="88"/>
      <c r="M266" s="88"/>
      <c r="N266" s="88"/>
      <c r="O266" s="88"/>
    </row>
    <row r="267" spans="2:15" ht="12.75">
      <c r="B267" s="88"/>
      <c r="C267" s="88"/>
      <c r="D267" s="88"/>
      <c r="E267" s="88"/>
      <c r="F267" s="88"/>
      <c r="G267" s="88"/>
      <c r="H267" s="88"/>
      <c r="I267" s="88"/>
      <c r="J267" s="88"/>
      <c r="K267" s="88"/>
      <c r="L267" s="88"/>
      <c r="M267" s="88"/>
      <c r="N267" s="88"/>
      <c r="O267" s="88"/>
    </row>
    <row r="268" spans="2:15" ht="12.75">
      <c r="B268" s="88"/>
      <c r="C268" s="88"/>
      <c r="D268" s="88"/>
      <c r="E268" s="88"/>
      <c r="F268" s="88"/>
      <c r="G268" s="88"/>
      <c r="H268" s="88"/>
      <c r="I268" s="88"/>
      <c r="J268" s="88"/>
      <c r="K268" s="88"/>
      <c r="L268" s="88"/>
      <c r="M268" s="88"/>
      <c r="N268" s="88"/>
      <c r="O268" s="88"/>
    </row>
    <row r="269" spans="2:15" ht="12.75">
      <c r="B269" s="88"/>
      <c r="C269" s="88"/>
      <c r="D269" s="88"/>
      <c r="E269" s="88"/>
      <c r="F269" s="88"/>
      <c r="G269" s="88"/>
      <c r="H269" s="88"/>
      <c r="I269" s="88"/>
      <c r="J269" s="88"/>
      <c r="K269" s="88"/>
      <c r="L269" s="88"/>
      <c r="M269" s="88"/>
      <c r="N269" s="88"/>
      <c r="O269" s="88"/>
    </row>
    <row r="270" spans="2:15" ht="12.75">
      <c r="B270" s="88"/>
      <c r="C270" s="88"/>
      <c r="D270" s="88"/>
      <c r="E270" s="88"/>
      <c r="F270" s="88"/>
      <c r="G270" s="88"/>
      <c r="H270" s="88"/>
      <c r="I270" s="88"/>
      <c r="J270" s="88"/>
      <c r="K270" s="88"/>
      <c r="L270" s="88"/>
      <c r="M270" s="88"/>
      <c r="N270" s="88"/>
      <c r="O270" s="88"/>
    </row>
    <row r="271" spans="2:15" ht="12.75">
      <c r="B271" s="88"/>
      <c r="C271" s="88"/>
      <c r="D271" s="88"/>
      <c r="E271" s="88"/>
      <c r="F271" s="88"/>
      <c r="G271" s="88"/>
      <c r="H271" s="88"/>
      <c r="I271" s="88"/>
      <c r="J271" s="88"/>
      <c r="K271" s="88"/>
      <c r="L271" s="88"/>
      <c r="M271" s="88"/>
      <c r="N271" s="88"/>
      <c r="O271" s="88"/>
    </row>
    <row r="272" spans="2:15" ht="12.75">
      <c r="B272" s="88"/>
      <c r="C272" s="88"/>
      <c r="D272" s="88"/>
      <c r="E272" s="88"/>
      <c r="F272" s="88"/>
      <c r="G272" s="88"/>
      <c r="H272" s="88"/>
      <c r="I272" s="88"/>
      <c r="J272" s="88"/>
      <c r="K272" s="88"/>
      <c r="L272" s="88"/>
      <c r="M272" s="88"/>
      <c r="N272" s="88"/>
      <c r="O272" s="88"/>
    </row>
    <row r="273" spans="2:15" ht="12.75">
      <c r="B273" s="88"/>
      <c r="C273" s="88"/>
      <c r="D273" s="88"/>
      <c r="E273" s="88"/>
      <c r="F273" s="88"/>
      <c r="G273" s="88"/>
      <c r="H273" s="88"/>
      <c r="I273" s="88"/>
      <c r="J273" s="88"/>
      <c r="K273" s="88"/>
      <c r="L273" s="88"/>
      <c r="M273" s="88"/>
      <c r="N273" s="88"/>
      <c r="O273" s="88"/>
    </row>
    <row r="274" spans="2:15" ht="12.75">
      <c r="B274" s="88"/>
      <c r="C274" s="88"/>
      <c r="D274" s="88"/>
      <c r="E274" s="88"/>
      <c r="F274" s="88"/>
      <c r="G274" s="88"/>
      <c r="H274" s="88"/>
      <c r="I274" s="88"/>
      <c r="J274" s="88"/>
      <c r="K274" s="88"/>
      <c r="L274" s="88"/>
      <c r="M274" s="88"/>
      <c r="N274" s="88"/>
      <c r="O274" s="88"/>
    </row>
    <row r="275" spans="2:15" ht="12.75">
      <c r="B275" s="88"/>
      <c r="C275" s="88"/>
      <c r="D275" s="88"/>
      <c r="E275" s="88"/>
      <c r="F275" s="88"/>
      <c r="G275" s="88"/>
      <c r="H275" s="88"/>
      <c r="I275" s="88"/>
      <c r="J275" s="88"/>
      <c r="K275" s="88"/>
      <c r="L275" s="88"/>
      <c r="M275" s="88"/>
      <c r="N275" s="88"/>
      <c r="O275" s="88"/>
    </row>
    <row r="276" spans="2:15" ht="12.75">
      <c r="B276" s="88"/>
      <c r="C276" s="88"/>
      <c r="D276" s="88"/>
      <c r="E276" s="88"/>
      <c r="F276" s="88"/>
      <c r="G276" s="88"/>
      <c r="H276" s="88"/>
      <c r="I276" s="88"/>
      <c r="J276" s="88"/>
      <c r="K276" s="88"/>
      <c r="L276" s="88"/>
      <c r="M276" s="88"/>
      <c r="N276" s="88"/>
      <c r="O276" s="88"/>
    </row>
    <row r="277" spans="2:15" ht="12.75">
      <c r="B277" s="88"/>
      <c r="C277" s="88"/>
      <c r="D277" s="88"/>
      <c r="E277" s="88"/>
      <c r="F277" s="88"/>
      <c r="G277" s="88"/>
      <c r="H277" s="88"/>
      <c r="I277" s="88"/>
      <c r="J277" s="88"/>
      <c r="K277" s="88"/>
      <c r="L277" s="88"/>
      <c r="M277" s="88"/>
      <c r="N277" s="88"/>
      <c r="O277" s="88"/>
    </row>
    <row r="278" spans="2:15" ht="12.75">
      <c r="B278" s="88"/>
      <c r="C278" s="88"/>
      <c r="D278" s="88"/>
      <c r="E278" s="88"/>
      <c r="F278" s="88"/>
      <c r="G278" s="88"/>
      <c r="H278" s="88"/>
      <c r="I278" s="88"/>
      <c r="J278" s="88"/>
      <c r="K278" s="88"/>
      <c r="L278" s="88"/>
      <c r="M278" s="88"/>
      <c r="N278" s="88"/>
      <c r="O278" s="88"/>
    </row>
    <row r="279" spans="2:15" ht="12.75">
      <c r="B279" s="88"/>
      <c r="C279" s="88"/>
      <c r="D279" s="88"/>
      <c r="E279" s="88"/>
      <c r="F279" s="88"/>
      <c r="G279" s="88"/>
      <c r="H279" s="88"/>
      <c r="I279" s="88"/>
      <c r="J279" s="88"/>
      <c r="K279" s="88"/>
      <c r="L279" s="88"/>
      <c r="M279" s="88"/>
      <c r="N279" s="88"/>
      <c r="O279" s="88"/>
    </row>
    <row r="280" spans="2:15" ht="12.75">
      <c r="B280" s="88"/>
      <c r="C280" s="88"/>
      <c r="D280" s="88"/>
      <c r="E280" s="88"/>
      <c r="F280" s="88"/>
      <c r="G280" s="88"/>
      <c r="H280" s="88"/>
      <c r="I280" s="88"/>
      <c r="J280" s="88"/>
      <c r="K280" s="88"/>
      <c r="L280" s="88"/>
      <c r="M280" s="88"/>
      <c r="N280" s="88"/>
      <c r="O280" s="88"/>
    </row>
    <row r="281" spans="2:15" ht="12.75">
      <c r="B281" s="88"/>
      <c r="C281" s="88"/>
      <c r="D281" s="88"/>
      <c r="E281" s="88"/>
      <c r="F281" s="88"/>
      <c r="G281" s="88"/>
      <c r="H281" s="88"/>
      <c r="I281" s="88"/>
      <c r="J281" s="88"/>
      <c r="K281" s="88"/>
      <c r="L281" s="88"/>
      <c r="M281" s="88"/>
      <c r="N281" s="88"/>
      <c r="O281" s="88"/>
    </row>
    <row r="282" spans="2:15" ht="12.75">
      <c r="B282" s="88"/>
      <c r="C282" s="88"/>
      <c r="D282" s="88"/>
      <c r="E282" s="88"/>
      <c r="F282" s="88"/>
      <c r="G282" s="88"/>
      <c r="H282" s="88"/>
      <c r="I282" s="88"/>
      <c r="J282" s="88"/>
      <c r="K282" s="88"/>
      <c r="L282" s="88"/>
      <c r="M282" s="88"/>
      <c r="N282" s="88"/>
      <c r="O282" s="88"/>
    </row>
    <row r="283" spans="2:15" ht="12.75">
      <c r="B283" s="88"/>
      <c r="C283" s="88"/>
      <c r="D283" s="88"/>
      <c r="E283" s="88"/>
      <c r="F283" s="88"/>
      <c r="G283" s="88"/>
      <c r="H283" s="88"/>
      <c r="I283" s="88"/>
      <c r="J283" s="88"/>
      <c r="K283" s="88"/>
      <c r="L283" s="88"/>
      <c r="M283" s="88"/>
      <c r="N283" s="88"/>
      <c r="O283" s="88"/>
    </row>
    <row r="284" spans="2:15" ht="12.75">
      <c r="B284" s="88"/>
      <c r="C284" s="88"/>
      <c r="D284" s="88"/>
      <c r="E284" s="88"/>
      <c r="F284" s="88"/>
      <c r="G284" s="88"/>
      <c r="H284" s="88"/>
      <c r="I284" s="88"/>
      <c r="J284" s="88"/>
      <c r="K284" s="88"/>
      <c r="L284" s="88"/>
      <c r="M284" s="88"/>
      <c r="N284" s="88"/>
      <c r="O284" s="88"/>
    </row>
    <row r="285" spans="2:15" ht="12.75">
      <c r="B285" s="88"/>
      <c r="C285" s="88"/>
      <c r="D285" s="88"/>
      <c r="E285" s="88"/>
      <c r="F285" s="88"/>
      <c r="G285" s="88"/>
      <c r="H285" s="88"/>
      <c r="I285" s="88"/>
      <c r="J285" s="88"/>
      <c r="K285" s="88"/>
      <c r="L285" s="88"/>
      <c r="M285" s="88"/>
      <c r="N285" s="88"/>
      <c r="O285" s="88"/>
    </row>
    <row r="286" spans="2:15" ht="12.75">
      <c r="B286" s="88"/>
      <c r="C286" s="88"/>
      <c r="D286" s="88"/>
      <c r="E286" s="88"/>
      <c r="F286" s="88"/>
      <c r="G286" s="88"/>
      <c r="H286" s="88"/>
      <c r="I286" s="88"/>
      <c r="J286" s="88"/>
      <c r="K286" s="88"/>
      <c r="L286" s="88"/>
      <c r="M286" s="88"/>
      <c r="N286" s="88"/>
      <c r="O286" s="88"/>
    </row>
    <row r="287" spans="2:15" ht="12.75">
      <c r="B287" s="88"/>
      <c r="C287" s="88"/>
      <c r="D287" s="88"/>
      <c r="E287" s="88"/>
      <c r="F287" s="88"/>
      <c r="G287" s="88"/>
      <c r="H287" s="88"/>
      <c r="I287" s="88"/>
      <c r="J287" s="88"/>
      <c r="K287" s="88"/>
      <c r="L287" s="88"/>
      <c r="M287" s="88"/>
      <c r="N287" s="88"/>
      <c r="O287" s="88"/>
    </row>
    <row r="288" spans="2:15" ht="12.75">
      <c r="B288" s="88"/>
      <c r="C288" s="88"/>
      <c r="D288" s="88"/>
      <c r="E288" s="88"/>
      <c r="F288" s="88"/>
      <c r="G288" s="88"/>
      <c r="H288" s="88"/>
      <c r="I288" s="88"/>
      <c r="J288" s="88"/>
      <c r="K288" s="88"/>
      <c r="L288" s="88"/>
      <c r="M288" s="88"/>
      <c r="N288" s="88"/>
      <c r="O288" s="88"/>
    </row>
    <row r="289" spans="2:15" ht="12.75">
      <c r="B289" s="88"/>
      <c r="C289" s="88"/>
      <c r="D289" s="88"/>
      <c r="E289" s="88"/>
      <c r="F289" s="88"/>
      <c r="G289" s="88"/>
      <c r="H289" s="88"/>
      <c r="I289" s="88"/>
      <c r="J289" s="88"/>
      <c r="K289" s="88"/>
      <c r="L289" s="88"/>
      <c r="M289" s="88"/>
      <c r="N289" s="88"/>
      <c r="O289" s="88"/>
    </row>
    <row r="290" spans="2:15" ht="12.75">
      <c r="B290" s="88"/>
      <c r="C290" s="88"/>
      <c r="D290" s="88"/>
      <c r="E290" s="88"/>
      <c r="F290" s="88"/>
      <c r="G290" s="88"/>
      <c r="H290" s="88"/>
      <c r="I290" s="88"/>
      <c r="J290" s="88"/>
      <c r="K290" s="88"/>
      <c r="L290" s="88"/>
      <c r="M290" s="88"/>
      <c r="N290" s="88"/>
      <c r="O290" s="88"/>
    </row>
    <row r="291" spans="2:15" ht="12.75">
      <c r="B291" s="88"/>
      <c r="C291" s="88"/>
      <c r="D291" s="88"/>
      <c r="E291" s="88"/>
      <c r="F291" s="88"/>
      <c r="G291" s="88"/>
      <c r="H291" s="88"/>
      <c r="I291" s="88"/>
      <c r="J291" s="88"/>
      <c r="K291" s="88"/>
      <c r="L291" s="88"/>
      <c r="M291" s="88"/>
      <c r="N291" s="88"/>
      <c r="O291" s="88"/>
    </row>
    <row r="292" spans="2:15" ht="12.75">
      <c r="B292" s="88"/>
      <c r="C292" s="88"/>
      <c r="D292" s="88"/>
      <c r="E292" s="88"/>
      <c r="F292" s="88"/>
      <c r="G292" s="88"/>
      <c r="H292" s="88"/>
      <c r="I292" s="88"/>
      <c r="J292" s="88"/>
      <c r="K292" s="88"/>
      <c r="L292" s="88"/>
      <c r="M292" s="88"/>
      <c r="N292" s="88"/>
      <c r="O292" s="88"/>
    </row>
    <row r="293" spans="2:15" ht="12.75">
      <c r="B293" s="88"/>
      <c r="C293" s="88"/>
      <c r="D293" s="88"/>
      <c r="E293" s="88"/>
      <c r="F293" s="88"/>
      <c r="G293" s="88"/>
      <c r="H293" s="88"/>
      <c r="I293" s="88"/>
      <c r="J293" s="88"/>
      <c r="K293" s="88"/>
      <c r="L293" s="88"/>
      <c r="M293" s="88"/>
      <c r="N293" s="88"/>
      <c r="O293" s="88"/>
    </row>
    <row r="294" spans="2:15" ht="12.75">
      <c r="B294" s="88"/>
      <c r="C294" s="88"/>
      <c r="D294" s="88"/>
      <c r="E294" s="88"/>
      <c r="F294" s="88"/>
      <c r="G294" s="88"/>
      <c r="H294" s="88"/>
      <c r="I294" s="88"/>
      <c r="J294" s="88"/>
      <c r="K294" s="88"/>
      <c r="L294" s="88"/>
      <c r="M294" s="88"/>
      <c r="N294" s="88"/>
      <c r="O294" s="88"/>
    </row>
    <row r="295" spans="2:15" ht="12.75">
      <c r="B295" s="88"/>
      <c r="C295" s="88"/>
      <c r="D295" s="88"/>
      <c r="E295" s="88"/>
      <c r="F295" s="88"/>
      <c r="G295" s="88"/>
      <c r="H295" s="88"/>
      <c r="I295" s="88"/>
      <c r="J295" s="88"/>
      <c r="K295" s="88"/>
      <c r="L295" s="88"/>
      <c r="M295" s="88"/>
      <c r="N295" s="88"/>
      <c r="O295" s="88"/>
    </row>
    <row r="296" spans="2:15" ht="12.75">
      <c r="B296" s="88"/>
      <c r="C296" s="88"/>
      <c r="D296" s="88"/>
      <c r="E296" s="88"/>
      <c r="F296" s="88"/>
      <c r="G296" s="88"/>
      <c r="H296" s="88"/>
      <c r="I296" s="88"/>
      <c r="J296" s="88"/>
      <c r="K296" s="88"/>
      <c r="L296" s="88"/>
      <c r="M296" s="88"/>
      <c r="N296" s="88"/>
      <c r="O296" s="88"/>
    </row>
    <row r="297" spans="2:15" ht="12.75">
      <c r="B297" s="88"/>
      <c r="C297" s="88"/>
      <c r="D297" s="88"/>
      <c r="E297" s="88"/>
      <c r="F297" s="88"/>
      <c r="G297" s="88"/>
      <c r="H297" s="88"/>
      <c r="I297" s="88"/>
      <c r="J297" s="88"/>
      <c r="K297" s="88"/>
      <c r="L297" s="88"/>
      <c r="M297" s="88"/>
      <c r="N297" s="88"/>
      <c r="O297" s="88"/>
    </row>
    <row r="298" spans="2:15" ht="12.75">
      <c r="B298" s="88"/>
      <c r="C298" s="88"/>
      <c r="D298" s="88"/>
      <c r="E298" s="88"/>
      <c r="F298" s="88"/>
      <c r="G298" s="88"/>
      <c r="H298" s="88"/>
      <c r="I298" s="88"/>
      <c r="J298" s="88"/>
      <c r="K298" s="88"/>
      <c r="L298" s="88"/>
      <c r="M298" s="88"/>
      <c r="N298" s="88"/>
      <c r="O298" s="88"/>
    </row>
    <row r="299" spans="2:15" ht="12.75">
      <c r="B299" s="88"/>
      <c r="C299" s="88"/>
      <c r="D299" s="88"/>
      <c r="E299" s="88"/>
      <c r="F299" s="88"/>
      <c r="G299" s="88"/>
      <c r="H299" s="88"/>
      <c r="I299" s="88"/>
      <c r="J299" s="88"/>
      <c r="K299" s="88"/>
      <c r="L299" s="88"/>
      <c r="M299" s="88"/>
      <c r="N299" s="88"/>
      <c r="O299" s="88"/>
    </row>
    <row r="300" spans="2:15" ht="12.75">
      <c r="B300" s="88"/>
      <c r="C300" s="88"/>
      <c r="D300" s="88"/>
      <c r="E300" s="88"/>
      <c r="F300" s="88"/>
      <c r="G300" s="88"/>
      <c r="H300" s="88"/>
      <c r="I300" s="88"/>
      <c r="J300" s="88"/>
      <c r="K300" s="88"/>
      <c r="L300" s="88"/>
      <c r="M300" s="88"/>
      <c r="N300" s="88"/>
      <c r="O300" s="88"/>
    </row>
    <row r="301" spans="2:15" ht="12.75">
      <c r="B301" s="88"/>
      <c r="C301" s="88"/>
      <c r="D301" s="88"/>
      <c r="E301" s="88"/>
      <c r="F301" s="88"/>
      <c r="G301" s="88"/>
      <c r="H301" s="88"/>
      <c r="I301" s="88"/>
      <c r="J301" s="88"/>
      <c r="K301" s="88"/>
      <c r="L301" s="88"/>
      <c r="M301" s="88"/>
      <c r="N301" s="88"/>
      <c r="O301" s="88"/>
    </row>
    <row r="302" spans="2:15" ht="12.75">
      <c r="B302" s="88"/>
      <c r="C302" s="88"/>
      <c r="D302" s="88"/>
      <c r="E302" s="88"/>
      <c r="F302" s="88"/>
      <c r="G302" s="88"/>
      <c r="H302" s="88"/>
      <c r="I302" s="88"/>
      <c r="J302" s="88"/>
      <c r="K302" s="88"/>
      <c r="L302" s="88"/>
      <c r="M302" s="88"/>
      <c r="N302" s="88"/>
      <c r="O302" s="88"/>
    </row>
    <row r="303" spans="2:15" ht="12.75">
      <c r="B303" s="88"/>
      <c r="C303" s="88"/>
      <c r="D303" s="88"/>
      <c r="E303" s="88"/>
      <c r="F303" s="88"/>
      <c r="G303" s="88"/>
      <c r="H303" s="88"/>
      <c r="I303" s="88"/>
      <c r="J303" s="88"/>
      <c r="K303" s="88"/>
      <c r="L303" s="88"/>
      <c r="M303" s="88"/>
      <c r="N303" s="88"/>
      <c r="O303" s="88"/>
    </row>
    <row r="304" spans="2:15" ht="12.75">
      <c r="B304" s="88"/>
      <c r="C304" s="88"/>
      <c r="D304" s="88"/>
      <c r="E304" s="88"/>
      <c r="F304" s="88"/>
      <c r="G304" s="88"/>
      <c r="H304" s="88"/>
      <c r="I304" s="88"/>
      <c r="J304" s="88"/>
      <c r="K304" s="88"/>
      <c r="L304" s="88"/>
      <c r="M304" s="88"/>
      <c r="N304" s="88"/>
      <c r="O304" s="88"/>
    </row>
    <row r="305" spans="2:15" ht="12.75">
      <c r="B305" s="88"/>
      <c r="C305" s="88"/>
      <c r="D305" s="88"/>
      <c r="E305" s="88"/>
      <c r="F305" s="88"/>
      <c r="G305" s="88"/>
      <c r="H305" s="88"/>
      <c r="I305" s="88"/>
      <c r="J305" s="88"/>
      <c r="K305" s="88"/>
      <c r="L305" s="88"/>
      <c r="M305" s="88"/>
      <c r="N305" s="88"/>
      <c r="O305" s="88"/>
    </row>
    <row r="306" spans="2:15" ht="12.75">
      <c r="B306" s="88"/>
      <c r="C306" s="88"/>
      <c r="D306" s="88"/>
      <c r="E306" s="88"/>
      <c r="F306" s="88"/>
      <c r="G306" s="88"/>
      <c r="H306" s="88"/>
      <c r="I306" s="88"/>
      <c r="J306" s="88"/>
      <c r="K306" s="88"/>
      <c r="L306" s="88"/>
      <c r="M306" s="88"/>
      <c r="N306" s="88"/>
      <c r="O306" s="88"/>
    </row>
    <row r="307" spans="2:15" ht="12.75">
      <c r="B307" s="88"/>
      <c r="C307" s="88"/>
      <c r="D307" s="88"/>
      <c r="E307" s="88"/>
      <c r="F307" s="88"/>
      <c r="G307" s="88"/>
      <c r="H307" s="88"/>
      <c r="I307" s="88"/>
      <c r="J307" s="88"/>
      <c r="K307" s="88"/>
      <c r="L307" s="88"/>
      <c r="M307" s="88"/>
      <c r="N307" s="88"/>
      <c r="O307" s="88"/>
    </row>
    <row r="308" spans="2:15" ht="12.75">
      <c r="B308" s="88"/>
      <c r="C308" s="88"/>
      <c r="D308" s="88"/>
      <c r="E308" s="88"/>
      <c r="F308" s="88"/>
      <c r="G308" s="88"/>
      <c r="H308" s="88"/>
      <c r="I308" s="88"/>
      <c r="J308" s="88"/>
      <c r="K308" s="88"/>
      <c r="L308" s="88"/>
      <c r="M308" s="88"/>
      <c r="N308" s="88"/>
      <c r="O308" s="88"/>
    </row>
    <row r="309" spans="2:15" ht="12.75">
      <c r="B309" s="88"/>
      <c r="C309" s="88"/>
      <c r="D309" s="88"/>
      <c r="E309" s="88"/>
      <c r="F309" s="88"/>
      <c r="G309" s="88"/>
      <c r="H309" s="88"/>
      <c r="I309" s="88"/>
      <c r="J309" s="88"/>
      <c r="K309" s="88"/>
      <c r="L309" s="88"/>
      <c r="M309" s="88"/>
      <c r="N309" s="88"/>
      <c r="O309" s="88"/>
    </row>
    <row r="310" spans="2:15" ht="12.75">
      <c r="B310" s="88"/>
      <c r="C310" s="88"/>
      <c r="D310" s="88"/>
      <c r="E310" s="88"/>
      <c r="F310" s="88"/>
      <c r="G310" s="88"/>
      <c r="H310" s="88"/>
      <c r="I310" s="88"/>
      <c r="J310" s="88"/>
      <c r="K310" s="88"/>
      <c r="L310" s="88"/>
      <c r="M310" s="88"/>
      <c r="N310" s="88"/>
      <c r="O310" s="88"/>
    </row>
    <row r="311" spans="2:15" ht="12.75">
      <c r="B311" s="88"/>
      <c r="C311" s="88"/>
      <c r="D311" s="88"/>
      <c r="E311" s="88"/>
      <c r="F311" s="88"/>
      <c r="G311" s="88"/>
      <c r="H311" s="88"/>
      <c r="I311" s="88"/>
      <c r="J311" s="88"/>
      <c r="K311" s="88"/>
      <c r="L311" s="88"/>
      <c r="M311" s="88"/>
      <c r="N311" s="88"/>
      <c r="O311" s="88"/>
    </row>
    <row r="312" spans="2:15" ht="12.75">
      <c r="B312" s="88"/>
      <c r="C312" s="88"/>
      <c r="D312" s="88"/>
      <c r="E312" s="88"/>
      <c r="F312" s="88"/>
      <c r="G312" s="88"/>
      <c r="H312" s="88"/>
      <c r="I312" s="88"/>
      <c r="J312" s="88"/>
      <c r="K312" s="88"/>
      <c r="L312" s="88"/>
      <c r="M312" s="88"/>
      <c r="N312" s="88"/>
      <c r="O312" s="88"/>
    </row>
    <row r="313" spans="2:15" ht="12.75">
      <c r="B313" s="88"/>
      <c r="C313" s="88"/>
      <c r="D313" s="88"/>
      <c r="E313" s="88"/>
      <c r="F313" s="88"/>
      <c r="G313" s="88"/>
      <c r="H313" s="88"/>
      <c r="I313" s="88"/>
      <c r="J313" s="88"/>
      <c r="K313" s="88"/>
      <c r="L313" s="88"/>
      <c r="M313" s="88"/>
      <c r="N313" s="88"/>
      <c r="O313" s="88"/>
    </row>
    <row r="314" spans="2:15" ht="12.75">
      <c r="B314" s="88"/>
      <c r="C314" s="88"/>
      <c r="D314" s="88"/>
      <c r="E314" s="88"/>
      <c r="F314" s="88"/>
      <c r="G314" s="88"/>
      <c r="H314" s="88"/>
      <c r="I314" s="88"/>
      <c r="J314" s="88"/>
      <c r="K314" s="88"/>
      <c r="L314" s="88"/>
      <c r="M314" s="88"/>
      <c r="N314" s="88"/>
      <c r="O314" s="88"/>
    </row>
    <row r="315" spans="2:15" ht="12.75">
      <c r="B315" s="88"/>
      <c r="C315" s="88"/>
      <c r="D315" s="88"/>
      <c r="E315" s="88"/>
      <c r="F315" s="88"/>
      <c r="G315" s="88"/>
      <c r="H315" s="88"/>
      <c r="I315" s="88"/>
      <c r="J315" s="88"/>
      <c r="K315" s="88"/>
      <c r="L315" s="88"/>
      <c r="M315" s="88"/>
      <c r="N315" s="88"/>
      <c r="O315" s="88"/>
    </row>
    <row r="316" spans="2:15" ht="12.75">
      <c r="B316" s="88"/>
      <c r="C316" s="88"/>
      <c r="D316" s="88"/>
      <c r="E316" s="88"/>
      <c r="F316" s="88"/>
      <c r="G316" s="88"/>
      <c r="H316" s="88"/>
      <c r="I316" s="88"/>
      <c r="J316" s="88"/>
      <c r="K316" s="88"/>
      <c r="L316" s="88"/>
      <c r="M316" s="88"/>
      <c r="N316" s="88"/>
      <c r="O316" s="88"/>
    </row>
    <row r="317" spans="2:15" ht="12.75">
      <c r="B317" s="88"/>
      <c r="C317" s="88"/>
      <c r="D317" s="88"/>
      <c r="E317" s="88"/>
      <c r="F317" s="88"/>
      <c r="G317" s="88"/>
      <c r="H317" s="88"/>
      <c r="I317" s="88"/>
      <c r="J317" s="88"/>
      <c r="K317" s="88"/>
      <c r="L317" s="88"/>
      <c r="M317" s="88"/>
      <c r="N317" s="88"/>
      <c r="O317" s="88"/>
    </row>
    <row r="318" spans="2:15" ht="12.75">
      <c r="B318" s="88"/>
      <c r="C318" s="88"/>
      <c r="D318" s="88"/>
      <c r="E318" s="88"/>
      <c r="F318" s="88"/>
      <c r="G318" s="88"/>
      <c r="H318" s="88"/>
      <c r="I318" s="88"/>
      <c r="J318" s="88"/>
      <c r="K318" s="88"/>
      <c r="L318" s="88"/>
      <c r="M318" s="88"/>
      <c r="N318" s="88"/>
      <c r="O318" s="88"/>
    </row>
    <row r="319" spans="2:15" ht="12.75">
      <c r="B319" s="88"/>
      <c r="C319" s="88"/>
      <c r="D319" s="88"/>
      <c r="E319" s="88"/>
      <c r="F319" s="88"/>
      <c r="G319" s="88"/>
      <c r="H319" s="88"/>
      <c r="I319" s="88"/>
      <c r="J319" s="88"/>
      <c r="K319" s="88"/>
      <c r="L319" s="88"/>
      <c r="M319" s="88"/>
      <c r="N319" s="88"/>
      <c r="O319" s="88"/>
    </row>
    <row r="320" spans="2:15" ht="12.75">
      <c r="B320" s="88"/>
      <c r="C320" s="88"/>
      <c r="D320" s="88"/>
      <c r="E320" s="88"/>
      <c r="F320" s="88"/>
      <c r="G320" s="88"/>
      <c r="H320" s="88"/>
      <c r="I320" s="88"/>
      <c r="J320" s="88"/>
      <c r="K320" s="88"/>
      <c r="L320" s="88"/>
      <c r="M320" s="88"/>
      <c r="N320" s="88"/>
      <c r="O320" s="88"/>
    </row>
    <row r="321" spans="2:15" ht="12.75">
      <c r="B321" s="88"/>
      <c r="C321" s="88"/>
      <c r="D321" s="88"/>
      <c r="E321" s="88"/>
      <c r="F321" s="88"/>
      <c r="G321" s="88"/>
      <c r="H321" s="88"/>
      <c r="I321" s="88"/>
      <c r="J321" s="88"/>
      <c r="K321" s="88"/>
      <c r="L321" s="88"/>
      <c r="M321" s="88"/>
      <c r="N321" s="88"/>
      <c r="O321" s="88"/>
    </row>
    <row r="322" spans="2:15" ht="12.75">
      <c r="B322" s="88"/>
      <c r="C322" s="88"/>
      <c r="D322" s="88"/>
      <c r="E322" s="88"/>
      <c r="F322" s="88"/>
      <c r="G322" s="88"/>
      <c r="H322" s="88"/>
      <c r="I322" s="88"/>
      <c r="J322" s="88"/>
      <c r="K322" s="88"/>
      <c r="L322" s="88"/>
      <c r="M322" s="88"/>
      <c r="N322" s="88"/>
      <c r="O322" s="88"/>
    </row>
    <row r="323" spans="2:15" ht="12.75">
      <c r="B323" s="88"/>
      <c r="C323" s="88"/>
      <c r="D323" s="88"/>
      <c r="E323" s="88"/>
      <c r="F323" s="88"/>
      <c r="G323" s="88"/>
      <c r="H323" s="88"/>
      <c r="I323" s="88"/>
      <c r="J323" s="88"/>
      <c r="K323" s="88"/>
      <c r="L323" s="88"/>
      <c r="M323" s="88"/>
      <c r="N323" s="88"/>
      <c r="O323" s="88"/>
    </row>
    <row r="324" spans="2:15" ht="12.75">
      <c r="B324" s="88"/>
      <c r="C324" s="88"/>
      <c r="D324" s="88"/>
      <c r="E324" s="88"/>
      <c r="F324" s="88"/>
      <c r="G324" s="88"/>
      <c r="H324" s="88"/>
      <c r="I324" s="88"/>
      <c r="J324" s="88"/>
      <c r="K324" s="88"/>
      <c r="L324" s="88"/>
      <c r="M324" s="88"/>
      <c r="N324" s="88"/>
      <c r="O324" s="88"/>
    </row>
    <row r="325" spans="2:15" ht="12.75">
      <c r="B325" s="88"/>
      <c r="C325" s="88"/>
      <c r="D325" s="88"/>
      <c r="E325" s="88"/>
      <c r="F325" s="88"/>
      <c r="G325" s="88"/>
      <c r="H325" s="88"/>
      <c r="I325" s="88"/>
      <c r="J325" s="88"/>
      <c r="K325" s="88"/>
      <c r="L325" s="88"/>
      <c r="M325" s="88"/>
      <c r="N325" s="88"/>
      <c r="O325" s="88"/>
    </row>
    <row r="326" spans="2:15" ht="12.75">
      <c r="B326" s="88"/>
      <c r="C326" s="88"/>
      <c r="D326" s="88"/>
      <c r="E326" s="88"/>
      <c r="F326" s="88"/>
      <c r="G326" s="88"/>
      <c r="H326" s="88"/>
      <c r="I326" s="88"/>
      <c r="J326" s="88"/>
      <c r="K326" s="88"/>
      <c r="L326" s="88"/>
      <c r="M326" s="88"/>
      <c r="N326" s="88"/>
      <c r="O326" s="88"/>
    </row>
    <row r="327" spans="2:15" ht="12.75">
      <c r="B327" s="88"/>
      <c r="C327" s="88"/>
      <c r="D327" s="88"/>
      <c r="E327" s="88"/>
      <c r="F327" s="88"/>
      <c r="G327" s="88"/>
      <c r="H327" s="88"/>
      <c r="I327" s="88"/>
      <c r="J327" s="88"/>
      <c r="K327" s="88"/>
      <c r="L327" s="88"/>
      <c r="M327" s="88"/>
      <c r="N327" s="88"/>
      <c r="O327" s="88"/>
    </row>
    <row r="328" spans="2:15" ht="12.75">
      <c r="B328" s="88"/>
      <c r="C328" s="88"/>
      <c r="D328" s="88"/>
      <c r="E328" s="88"/>
      <c r="F328" s="88"/>
      <c r="G328" s="88"/>
      <c r="H328" s="88"/>
      <c r="I328" s="88"/>
      <c r="J328" s="88"/>
      <c r="K328" s="88"/>
      <c r="L328" s="88"/>
      <c r="M328" s="88"/>
      <c r="N328" s="88"/>
      <c r="O328" s="88"/>
    </row>
    <row r="329" spans="2:15" ht="12.75">
      <c r="B329" s="88"/>
      <c r="C329" s="88"/>
      <c r="D329" s="88"/>
      <c r="E329" s="88"/>
      <c r="F329" s="88"/>
      <c r="G329" s="88"/>
      <c r="H329" s="88"/>
      <c r="I329" s="88"/>
      <c r="J329" s="88"/>
      <c r="K329" s="88"/>
      <c r="L329" s="88"/>
      <c r="M329" s="88"/>
      <c r="N329" s="88"/>
      <c r="O329" s="88"/>
    </row>
    <row r="330" spans="2:15" ht="12.75">
      <c r="B330" s="88"/>
      <c r="C330" s="88"/>
      <c r="D330" s="88"/>
      <c r="E330" s="88"/>
      <c r="F330" s="88"/>
      <c r="G330" s="88"/>
      <c r="H330" s="88"/>
      <c r="I330" s="88"/>
      <c r="J330" s="88"/>
      <c r="K330" s="88"/>
      <c r="L330" s="88"/>
      <c r="M330" s="88"/>
      <c r="N330" s="88"/>
      <c r="O330" s="88"/>
    </row>
    <row r="331" spans="2:15" ht="12.75">
      <c r="B331" s="88"/>
      <c r="C331" s="88"/>
      <c r="D331" s="88"/>
      <c r="E331" s="88"/>
      <c r="F331" s="88"/>
      <c r="G331" s="88"/>
      <c r="H331" s="88"/>
      <c r="I331" s="88"/>
      <c r="J331" s="88"/>
      <c r="K331" s="88"/>
      <c r="L331" s="88"/>
      <c r="M331" s="88"/>
      <c r="N331" s="88"/>
      <c r="O331" s="88"/>
    </row>
    <row r="332" spans="2:15" ht="12.75">
      <c r="B332" s="88"/>
      <c r="C332" s="88"/>
      <c r="D332" s="88"/>
      <c r="E332" s="88"/>
      <c r="F332" s="88"/>
      <c r="G332" s="88"/>
      <c r="H332" s="88"/>
      <c r="I332" s="88"/>
      <c r="J332" s="88"/>
      <c r="K332" s="88"/>
      <c r="L332" s="88"/>
      <c r="M332" s="88"/>
      <c r="N332" s="88"/>
      <c r="O332" s="88"/>
    </row>
    <row r="333" spans="2:15" ht="12.75">
      <c r="B333" s="88"/>
      <c r="C333" s="88"/>
      <c r="D333" s="88"/>
      <c r="E333" s="88"/>
      <c r="F333" s="88"/>
      <c r="G333" s="88"/>
      <c r="H333" s="88"/>
      <c r="I333" s="88"/>
      <c r="J333" s="88"/>
      <c r="K333" s="88"/>
      <c r="L333" s="88"/>
      <c r="M333" s="88"/>
      <c r="N333" s="88"/>
      <c r="O333" s="88"/>
    </row>
    <row r="334" spans="2:15" ht="12.75">
      <c r="B334" s="88"/>
      <c r="C334" s="88"/>
      <c r="D334" s="88"/>
      <c r="E334" s="88"/>
      <c r="F334" s="88"/>
      <c r="G334" s="88"/>
      <c r="H334" s="88"/>
      <c r="I334" s="88"/>
      <c r="J334" s="88"/>
      <c r="K334" s="88"/>
      <c r="L334" s="88"/>
      <c r="M334" s="88"/>
      <c r="N334" s="88"/>
      <c r="O334" s="88"/>
    </row>
    <row r="335" spans="2:15" ht="12.75">
      <c r="B335" s="88"/>
      <c r="C335" s="88"/>
      <c r="D335" s="88"/>
      <c r="E335" s="88"/>
      <c r="F335" s="88"/>
      <c r="G335" s="88"/>
      <c r="H335" s="88"/>
      <c r="I335" s="88"/>
      <c r="J335" s="88"/>
      <c r="K335" s="88"/>
      <c r="L335" s="88"/>
      <c r="M335" s="88"/>
      <c r="N335" s="88"/>
      <c r="O335" s="88"/>
    </row>
    <row r="336" spans="2:15" ht="12.75">
      <c r="B336" s="88"/>
      <c r="C336" s="88"/>
      <c r="D336" s="88"/>
      <c r="E336" s="88"/>
      <c r="F336" s="88"/>
      <c r="G336" s="88"/>
      <c r="H336" s="88"/>
      <c r="I336" s="88"/>
      <c r="J336" s="88"/>
      <c r="K336" s="88"/>
      <c r="L336" s="88"/>
      <c r="M336" s="88"/>
      <c r="N336" s="88"/>
      <c r="O336" s="88"/>
    </row>
    <row r="337" spans="2:15" ht="12.75">
      <c r="B337" s="88"/>
      <c r="C337" s="88"/>
      <c r="D337" s="88"/>
      <c r="E337" s="88"/>
      <c r="F337" s="88"/>
      <c r="G337" s="88"/>
      <c r="H337" s="88"/>
      <c r="I337" s="88"/>
      <c r="J337" s="88"/>
      <c r="K337" s="88"/>
      <c r="L337" s="88"/>
      <c r="M337" s="88"/>
      <c r="N337" s="88"/>
      <c r="O337" s="88"/>
    </row>
    <row r="338" spans="2:15" ht="12.75">
      <c r="B338" s="88"/>
      <c r="C338" s="88"/>
      <c r="D338" s="88"/>
      <c r="E338" s="88"/>
      <c r="F338" s="88"/>
      <c r="G338" s="88"/>
      <c r="H338" s="88"/>
      <c r="I338" s="88"/>
      <c r="J338" s="88"/>
      <c r="K338" s="88"/>
      <c r="L338" s="88"/>
      <c r="M338" s="88"/>
      <c r="N338" s="88"/>
      <c r="O338" s="88"/>
    </row>
    <row r="339" spans="2:15" ht="12.75">
      <c r="B339" s="88"/>
      <c r="C339" s="88"/>
      <c r="D339" s="88"/>
      <c r="E339" s="88"/>
      <c r="F339" s="88"/>
      <c r="G339" s="88"/>
      <c r="H339" s="88"/>
      <c r="I339" s="88"/>
      <c r="J339" s="88"/>
      <c r="K339" s="88"/>
      <c r="L339" s="88"/>
      <c r="M339" s="88"/>
      <c r="N339" s="88"/>
      <c r="O339" s="88"/>
    </row>
    <row r="340" spans="2:15" ht="12.75">
      <c r="B340" s="88"/>
      <c r="C340" s="88"/>
      <c r="D340" s="88"/>
      <c r="E340" s="88"/>
      <c r="F340" s="88"/>
      <c r="G340" s="88"/>
      <c r="H340" s="88"/>
      <c r="I340" s="88"/>
      <c r="J340" s="88"/>
      <c r="K340" s="88"/>
      <c r="L340" s="88"/>
      <c r="M340" s="88"/>
      <c r="N340" s="88"/>
      <c r="O340" s="88"/>
    </row>
    <row r="341" spans="2:15" ht="12.75">
      <c r="B341" s="88"/>
      <c r="C341" s="88"/>
      <c r="D341" s="88"/>
      <c r="E341" s="88"/>
      <c r="F341" s="88"/>
      <c r="G341" s="88"/>
      <c r="H341" s="88"/>
      <c r="I341" s="88"/>
      <c r="J341" s="88"/>
      <c r="K341" s="88"/>
      <c r="L341" s="88"/>
      <c r="M341" s="88"/>
      <c r="N341" s="88"/>
      <c r="O341" s="88"/>
    </row>
    <row r="342" spans="2:15" ht="12.75">
      <c r="B342" s="88"/>
      <c r="C342" s="88"/>
      <c r="D342" s="88"/>
      <c r="E342" s="88"/>
      <c r="F342" s="88"/>
      <c r="G342" s="88"/>
      <c r="H342" s="88"/>
      <c r="I342" s="88"/>
      <c r="J342" s="88"/>
      <c r="K342" s="88"/>
      <c r="L342" s="88"/>
      <c r="M342" s="88"/>
      <c r="N342" s="88"/>
      <c r="O342" s="88"/>
    </row>
    <row r="343" spans="2:15" ht="12.75">
      <c r="B343" s="88"/>
      <c r="C343" s="88"/>
      <c r="D343" s="88"/>
      <c r="E343" s="88"/>
      <c r="F343" s="88"/>
      <c r="G343" s="88"/>
      <c r="H343" s="88"/>
      <c r="I343" s="88"/>
      <c r="J343" s="88"/>
      <c r="K343" s="88"/>
      <c r="L343" s="88"/>
      <c r="M343" s="88"/>
      <c r="N343" s="88"/>
      <c r="O343" s="88"/>
    </row>
    <row r="344" spans="2:15" ht="12.75">
      <c r="B344" s="88"/>
      <c r="C344" s="88"/>
      <c r="D344" s="88"/>
      <c r="E344" s="88"/>
      <c r="F344" s="88"/>
      <c r="G344" s="88"/>
      <c r="H344" s="88"/>
      <c r="I344" s="88"/>
      <c r="J344" s="88"/>
      <c r="K344" s="88"/>
      <c r="L344" s="88"/>
      <c r="M344" s="88"/>
      <c r="N344" s="88"/>
      <c r="O344" s="88"/>
    </row>
    <row r="345" spans="2:15" ht="12.75">
      <c r="B345" s="88"/>
      <c r="C345" s="88"/>
      <c r="D345" s="88"/>
      <c r="E345" s="88"/>
      <c r="F345" s="88"/>
      <c r="G345" s="88"/>
      <c r="H345" s="88"/>
      <c r="I345" s="88"/>
      <c r="J345" s="88"/>
      <c r="K345" s="88"/>
      <c r="L345" s="88"/>
      <c r="M345" s="88"/>
      <c r="N345" s="88"/>
      <c r="O345" s="88"/>
    </row>
    <row r="346" spans="2:15" ht="12.75">
      <c r="B346" s="88"/>
      <c r="C346" s="88"/>
      <c r="D346" s="88"/>
      <c r="E346" s="88"/>
      <c r="F346" s="88"/>
      <c r="G346" s="88"/>
      <c r="H346" s="88"/>
      <c r="I346" s="88"/>
      <c r="J346" s="88"/>
      <c r="K346" s="88"/>
      <c r="L346" s="88"/>
      <c r="M346" s="88"/>
      <c r="N346" s="88"/>
      <c r="O346" s="88"/>
    </row>
    <row r="347" spans="2:15" ht="12.75">
      <c r="B347" s="88"/>
      <c r="C347" s="88"/>
      <c r="D347" s="88"/>
      <c r="E347" s="88"/>
      <c r="F347" s="88"/>
      <c r="G347" s="88"/>
      <c r="H347" s="88"/>
      <c r="I347" s="88"/>
      <c r="J347" s="88"/>
      <c r="K347" s="88"/>
      <c r="L347" s="88"/>
      <c r="M347" s="88"/>
      <c r="N347" s="88"/>
      <c r="O347" s="88"/>
    </row>
    <row r="348" spans="2:15" ht="12.75">
      <c r="B348" s="88"/>
      <c r="C348" s="88"/>
      <c r="D348" s="88"/>
      <c r="E348" s="88"/>
      <c r="F348" s="88"/>
      <c r="G348" s="88"/>
      <c r="H348" s="88"/>
      <c r="I348" s="88"/>
      <c r="J348" s="88"/>
      <c r="K348" s="88"/>
      <c r="L348" s="88"/>
      <c r="M348" s="88"/>
      <c r="N348" s="88"/>
      <c r="O348" s="88"/>
    </row>
    <row r="349" spans="2:15" ht="12.75">
      <c r="B349" s="88"/>
      <c r="C349" s="88"/>
      <c r="D349" s="88"/>
      <c r="E349" s="88"/>
      <c r="F349" s="88"/>
      <c r="G349" s="88"/>
      <c r="H349" s="88"/>
      <c r="I349" s="88"/>
      <c r="J349" s="88"/>
      <c r="K349" s="88"/>
      <c r="L349" s="88"/>
      <c r="M349" s="88"/>
      <c r="N349" s="88"/>
      <c r="O349" s="88"/>
    </row>
    <row r="350" spans="2:15" ht="12.75">
      <c r="B350" s="88"/>
      <c r="C350" s="88"/>
      <c r="D350" s="88"/>
      <c r="E350" s="88"/>
      <c r="F350" s="88"/>
      <c r="G350" s="88"/>
      <c r="H350" s="88"/>
      <c r="I350" s="88"/>
      <c r="J350" s="88"/>
      <c r="K350" s="88"/>
      <c r="L350" s="88"/>
      <c r="M350" s="88"/>
      <c r="N350" s="88"/>
      <c r="O350" s="88"/>
    </row>
    <row r="351" spans="2:15" ht="12.75">
      <c r="B351" s="88"/>
      <c r="C351" s="88"/>
      <c r="D351" s="88"/>
      <c r="E351" s="88"/>
      <c r="F351" s="88"/>
      <c r="G351" s="88"/>
      <c r="H351" s="88"/>
      <c r="I351" s="88"/>
      <c r="J351" s="88"/>
      <c r="K351" s="88"/>
      <c r="L351" s="88"/>
      <c r="M351" s="88"/>
      <c r="N351" s="88"/>
      <c r="O351" s="88"/>
    </row>
    <row r="352" spans="2:15" ht="12.75">
      <c r="B352" s="88"/>
      <c r="C352" s="88"/>
      <c r="D352" s="88"/>
      <c r="E352" s="88"/>
      <c r="F352" s="88"/>
      <c r="G352" s="88"/>
      <c r="H352" s="88"/>
      <c r="I352" s="88"/>
      <c r="J352" s="88"/>
      <c r="K352" s="88"/>
      <c r="L352" s="88"/>
      <c r="M352" s="88"/>
      <c r="N352" s="88"/>
      <c r="O352" s="88"/>
    </row>
    <row r="353" spans="2:15" ht="12.75">
      <c r="B353" s="88"/>
      <c r="C353" s="88"/>
      <c r="D353" s="88"/>
      <c r="E353" s="88"/>
      <c r="F353" s="88"/>
      <c r="G353" s="88"/>
      <c r="H353" s="88"/>
      <c r="I353" s="88"/>
      <c r="J353" s="88"/>
      <c r="K353" s="88"/>
      <c r="L353" s="88"/>
      <c r="M353" s="88"/>
      <c r="N353" s="88"/>
      <c r="O353" s="88"/>
    </row>
    <row r="354" spans="2:15" ht="12.75">
      <c r="B354" s="88"/>
      <c r="C354" s="88"/>
      <c r="D354" s="88"/>
      <c r="E354" s="88"/>
      <c r="F354" s="88"/>
      <c r="G354" s="88"/>
      <c r="H354" s="88"/>
      <c r="I354" s="88"/>
      <c r="J354" s="88"/>
      <c r="K354" s="88"/>
      <c r="L354" s="88"/>
      <c r="M354" s="88"/>
      <c r="N354" s="88"/>
      <c r="O354" s="88"/>
    </row>
    <row r="355" spans="2:15" ht="12.75">
      <c r="B355" s="88"/>
      <c r="C355" s="88"/>
      <c r="D355" s="88"/>
      <c r="E355" s="88"/>
      <c r="F355" s="88"/>
      <c r="G355" s="88"/>
      <c r="H355" s="88"/>
      <c r="I355" s="88"/>
      <c r="J355" s="88"/>
      <c r="K355" s="88"/>
      <c r="L355" s="88"/>
      <c r="M355" s="88"/>
      <c r="N355" s="88"/>
      <c r="O355" s="88"/>
    </row>
    <row r="356" spans="2:15" ht="12.75">
      <c r="B356" s="88"/>
      <c r="C356" s="88"/>
      <c r="D356" s="88"/>
      <c r="E356" s="88"/>
      <c r="F356" s="88"/>
      <c r="G356" s="88"/>
      <c r="H356" s="88"/>
      <c r="I356" s="88"/>
      <c r="J356" s="88"/>
      <c r="K356" s="88"/>
      <c r="L356" s="88"/>
      <c r="M356" s="88"/>
      <c r="N356" s="88"/>
      <c r="O356" s="88"/>
    </row>
    <row r="357" spans="2:15" ht="12.75">
      <c r="B357" s="88"/>
      <c r="C357" s="88"/>
      <c r="D357" s="88"/>
      <c r="E357" s="88"/>
      <c r="F357" s="88"/>
      <c r="G357" s="88"/>
      <c r="H357" s="88"/>
      <c r="I357" s="88"/>
      <c r="J357" s="88"/>
      <c r="K357" s="88"/>
      <c r="L357" s="88"/>
      <c r="M357" s="88"/>
      <c r="N357" s="88"/>
      <c r="O357" s="88"/>
    </row>
    <row r="358" spans="2:15" ht="12.75">
      <c r="B358" s="88"/>
      <c r="C358" s="88"/>
      <c r="D358" s="88"/>
      <c r="E358" s="88"/>
      <c r="F358" s="88"/>
      <c r="G358" s="88"/>
      <c r="H358" s="88"/>
      <c r="I358" s="88"/>
      <c r="J358" s="88"/>
      <c r="K358" s="88"/>
      <c r="L358" s="88"/>
      <c r="M358" s="88"/>
      <c r="N358" s="88"/>
      <c r="O358" s="88"/>
    </row>
    <row r="359" spans="2:15" ht="12.75">
      <c r="B359" s="88"/>
      <c r="C359" s="88"/>
      <c r="D359" s="88"/>
      <c r="E359" s="88"/>
      <c r="F359" s="88"/>
      <c r="G359" s="88"/>
      <c r="H359" s="88"/>
      <c r="I359" s="88"/>
      <c r="J359" s="88"/>
      <c r="K359" s="88"/>
      <c r="L359" s="88"/>
      <c r="M359" s="88"/>
      <c r="N359" s="88"/>
      <c r="O359" s="88"/>
    </row>
    <row r="360" spans="2:15" ht="12.75">
      <c r="B360" s="88"/>
      <c r="C360" s="88"/>
      <c r="D360" s="88"/>
      <c r="E360" s="88"/>
      <c r="F360" s="88"/>
      <c r="G360" s="88"/>
      <c r="H360" s="88"/>
      <c r="I360" s="88"/>
      <c r="J360" s="88"/>
      <c r="K360" s="88"/>
      <c r="L360" s="88"/>
      <c r="M360" s="88"/>
      <c r="N360" s="88"/>
      <c r="O360" s="88"/>
    </row>
    <row r="361" spans="2:15" ht="12.75">
      <c r="B361" s="88"/>
      <c r="C361" s="88"/>
      <c r="D361" s="88"/>
      <c r="E361" s="88"/>
      <c r="F361" s="88"/>
      <c r="G361" s="88"/>
      <c r="H361" s="88"/>
      <c r="I361" s="88"/>
      <c r="J361" s="88"/>
      <c r="K361" s="88"/>
      <c r="L361" s="88"/>
      <c r="M361" s="88"/>
      <c r="N361" s="88"/>
      <c r="O361" s="88"/>
    </row>
    <row r="362" spans="2:15" ht="12.75">
      <c r="B362" s="88"/>
      <c r="C362" s="88"/>
      <c r="D362" s="88"/>
      <c r="E362" s="88"/>
      <c r="F362" s="88"/>
      <c r="G362" s="88"/>
      <c r="H362" s="88"/>
      <c r="I362" s="88"/>
      <c r="J362" s="88"/>
      <c r="K362" s="88"/>
      <c r="L362" s="88"/>
      <c r="M362" s="88"/>
      <c r="N362" s="88"/>
      <c r="O362" s="88"/>
    </row>
    <row r="363" spans="2:15" ht="12.75">
      <c r="B363" s="88"/>
      <c r="C363" s="88"/>
      <c r="D363" s="88"/>
      <c r="E363" s="88"/>
      <c r="F363" s="88"/>
      <c r="G363" s="88"/>
      <c r="H363" s="88"/>
      <c r="I363" s="88"/>
      <c r="J363" s="88"/>
      <c r="K363" s="88"/>
      <c r="L363" s="88"/>
      <c r="M363" s="88"/>
      <c r="N363" s="88"/>
      <c r="O363" s="88"/>
    </row>
    <row r="364" spans="2:15" ht="12.75">
      <c r="B364" s="88"/>
      <c r="C364" s="88"/>
      <c r="D364" s="88"/>
      <c r="E364" s="88"/>
      <c r="F364" s="88"/>
      <c r="G364" s="88"/>
      <c r="H364" s="88"/>
      <c r="I364" s="88"/>
      <c r="J364" s="88"/>
      <c r="K364" s="88"/>
      <c r="L364" s="88"/>
      <c r="M364" s="88"/>
      <c r="N364" s="88"/>
      <c r="O364" s="88"/>
    </row>
    <row r="365" spans="2:15" ht="12.75">
      <c r="B365" s="88"/>
      <c r="C365" s="88"/>
      <c r="D365" s="88"/>
      <c r="E365" s="88"/>
      <c r="F365" s="88"/>
      <c r="G365" s="88"/>
      <c r="H365" s="88"/>
      <c r="I365" s="88"/>
      <c r="J365" s="88"/>
      <c r="K365" s="88"/>
      <c r="L365" s="88"/>
      <c r="M365" s="88"/>
      <c r="N365" s="88"/>
      <c r="O365" s="88"/>
    </row>
    <row r="366" spans="2:15" ht="12.75">
      <c r="B366" s="88"/>
      <c r="C366" s="88"/>
      <c r="D366" s="88"/>
      <c r="E366" s="88"/>
      <c r="F366" s="88"/>
      <c r="G366" s="88"/>
      <c r="H366" s="88"/>
      <c r="I366" s="88"/>
      <c r="J366" s="88"/>
      <c r="K366" s="88"/>
      <c r="L366" s="88"/>
      <c r="M366" s="88"/>
      <c r="N366" s="88"/>
      <c r="O366" s="88"/>
    </row>
    <row r="367" spans="2:15" ht="12.75">
      <c r="B367" s="88"/>
      <c r="C367" s="88"/>
      <c r="D367" s="88"/>
      <c r="E367" s="88"/>
      <c r="F367" s="88"/>
      <c r="G367" s="88"/>
      <c r="H367" s="88"/>
      <c r="I367" s="88"/>
      <c r="J367" s="88"/>
      <c r="K367" s="88"/>
      <c r="L367" s="88"/>
      <c r="M367" s="88"/>
      <c r="N367" s="88"/>
      <c r="O367" s="88"/>
    </row>
    <row r="368" spans="2:15" ht="12.75">
      <c r="B368" s="88"/>
      <c r="C368" s="88"/>
      <c r="D368" s="88"/>
      <c r="E368" s="88"/>
      <c r="F368" s="88"/>
      <c r="G368" s="88"/>
      <c r="H368" s="88"/>
      <c r="I368" s="88"/>
      <c r="J368" s="88"/>
      <c r="K368" s="88"/>
      <c r="L368" s="88"/>
      <c r="M368" s="88"/>
      <c r="N368" s="88"/>
      <c r="O368" s="88"/>
    </row>
    <row r="369" spans="2:15" ht="12.75">
      <c r="B369" s="88"/>
      <c r="C369" s="88"/>
      <c r="D369" s="88"/>
      <c r="E369" s="88"/>
      <c r="F369" s="88"/>
      <c r="G369" s="88"/>
      <c r="H369" s="88"/>
      <c r="I369" s="88"/>
      <c r="J369" s="88"/>
      <c r="K369" s="88"/>
      <c r="L369" s="88"/>
      <c r="M369" s="88"/>
      <c r="N369" s="88"/>
      <c r="O369" s="88"/>
    </row>
    <row r="370" spans="2:15" ht="12.75">
      <c r="B370" s="88"/>
      <c r="C370" s="88"/>
      <c r="D370" s="88"/>
      <c r="E370" s="88"/>
      <c r="F370" s="88"/>
      <c r="G370" s="88"/>
      <c r="H370" s="88"/>
      <c r="I370" s="88"/>
      <c r="J370" s="88"/>
      <c r="K370" s="88"/>
      <c r="L370" s="88"/>
      <c r="M370" s="88"/>
      <c r="N370" s="88"/>
      <c r="O370" s="88"/>
    </row>
    <row r="371" spans="2:15" ht="12.75">
      <c r="B371" s="88"/>
      <c r="C371" s="88"/>
      <c r="D371" s="88"/>
      <c r="E371" s="88"/>
      <c r="F371" s="88"/>
      <c r="G371" s="88"/>
      <c r="H371" s="88"/>
      <c r="I371" s="88"/>
      <c r="J371" s="88"/>
      <c r="K371" s="88"/>
      <c r="L371" s="88"/>
      <c r="M371" s="88"/>
      <c r="N371" s="88"/>
      <c r="O371" s="88"/>
    </row>
    <row r="372" spans="2:15" ht="12.75">
      <c r="B372" s="88"/>
      <c r="C372" s="88"/>
      <c r="D372" s="88"/>
      <c r="E372" s="88"/>
      <c r="F372" s="88"/>
      <c r="G372" s="88"/>
      <c r="H372" s="88"/>
      <c r="I372" s="88"/>
      <c r="J372" s="88"/>
      <c r="K372" s="88"/>
      <c r="L372" s="88"/>
      <c r="M372" s="88"/>
      <c r="N372" s="88"/>
      <c r="O372" s="88"/>
    </row>
    <row r="373" spans="2:15" ht="12.75">
      <c r="B373" s="88"/>
      <c r="C373" s="88"/>
      <c r="D373" s="88"/>
      <c r="E373" s="88"/>
      <c r="F373" s="88"/>
      <c r="G373" s="88"/>
      <c r="H373" s="88"/>
      <c r="I373" s="88"/>
      <c r="J373" s="88"/>
      <c r="K373" s="88"/>
      <c r="L373" s="88"/>
      <c r="M373" s="88"/>
      <c r="N373" s="88"/>
      <c r="O373" s="88"/>
    </row>
    <row r="374" spans="2:15" ht="12.75">
      <c r="B374" s="88"/>
      <c r="C374" s="88"/>
      <c r="D374" s="88"/>
      <c r="E374" s="88"/>
      <c r="F374" s="88"/>
      <c r="G374" s="88"/>
      <c r="H374" s="88"/>
      <c r="I374" s="88"/>
      <c r="J374" s="88"/>
      <c r="K374" s="88"/>
      <c r="L374" s="88"/>
      <c r="M374" s="88"/>
      <c r="N374" s="88"/>
      <c r="O374" s="88"/>
    </row>
    <row r="375" spans="2:15" ht="12.75">
      <c r="B375" s="88"/>
      <c r="C375" s="88"/>
      <c r="D375" s="88"/>
      <c r="E375" s="88"/>
      <c r="F375" s="88"/>
      <c r="G375" s="88"/>
      <c r="H375" s="88"/>
      <c r="I375" s="88"/>
      <c r="J375" s="88"/>
      <c r="K375" s="88"/>
      <c r="L375" s="88"/>
      <c r="M375" s="88"/>
      <c r="N375" s="88"/>
      <c r="O375" s="88"/>
    </row>
    <row r="376" spans="2:15" ht="12.75">
      <c r="B376" s="88"/>
      <c r="C376" s="88"/>
      <c r="D376" s="88"/>
      <c r="E376" s="88"/>
      <c r="F376" s="88"/>
      <c r="G376" s="88"/>
      <c r="H376" s="88"/>
      <c r="I376" s="88"/>
      <c r="J376" s="88"/>
      <c r="K376" s="88"/>
      <c r="L376" s="88"/>
      <c r="M376" s="88"/>
      <c r="N376" s="88"/>
      <c r="O376" s="88"/>
    </row>
    <row r="377" spans="2:15" ht="12.75">
      <c r="B377" s="88"/>
      <c r="C377" s="88"/>
      <c r="D377" s="88"/>
      <c r="E377" s="88"/>
      <c r="F377" s="88"/>
      <c r="G377" s="88"/>
      <c r="H377" s="88"/>
      <c r="I377" s="88"/>
      <c r="J377" s="88"/>
      <c r="K377" s="88"/>
      <c r="L377" s="88"/>
      <c r="M377" s="88"/>
      <c r="N377" s="88"/>
      <c r="O377" s="88"/>
    </row>
    <row r="378" spans="2:15" ht="12.75">
      <c r="B378" s="88"/>
      <c r="C378" s="88"/>
      <c r="D378" s="88"/>
      <c r="E378" s="88"/>
      <c r="F378" s="88"/>
      <c r="G378" s="88"/>
      <c r="H378" s="88"/>
      <c r="I378" s="88"/>
      <c r="J378" s="88"/>
      <c r="K378" s="88"/>
      <c r="L378" s="88"/>
      <c r="M378" s="88"/>
      <c r="N378" s="88"/>
      <c r="O378" s="88"/>
    </row>
    <row r="379" spans="2:15" ht="12.75">
      <c r="B379" s="88"/>
      <c r="C379" s="88"/>
      <c r="D379" s="88"/>
      <c r="E379" s="88"/>
      <c r="F379" s="88"/>
      <c r="G379" s="88"/>
      <c r="H379" s="88"/>
      <c r="I379" s="88"/>
      <c r="J379" s="88"/>
      <c r="K379" s="88"/>
      <c r="L379" s="88"/>
      <c r="M379" s="88"/>
      <c r="N379" s="88"/>
      <c r="O379" s="88"/>
    </row>
    <row r="380" spans="2:15" ht="12.75">
      <c r="B380" s="88"/>
      <c r="C380" s="88"/>
      <c r="D380" s="88"/>
      <c r="E380" s="88"/>
      <c r="F380" s="88"/>
      <c r="G380" s="88"/>
      <c r="H380" s="88"/>
      <c r="I380" s="88"/>
      <c r="J380" s="88"/>
      <c r="K380" s="88"/>
      <c r="L380" s="88"/>
      <c r="M380" s="88"/>
      <c r="N380" s="88"/>
      <c r="O380" s="88"/>
    </row>
    <row r="381" spans="2:15" ht="12.75">
      <c r="B381" s="88"/>
      <c r="C381" s="88"/>
      <c r="D381" s="88"/>
      <c r="E381" s="88"/>
      <c r="F381" s="88"/>
      <c r="G381" s="88"/>
      <c r="H381" s="88"/>
      <c r="I381" s="88"/>
      <c r="J381" s="88"/>
      <c r="K381" s="88"/>
      <c r="L381" s="88"/>
      <c r="M381" s="88"/>
      <c r="N381" s="88"/>
      <c r="O381" s="88"/>
    </row>
    <row r="382" spans="2:15" ht="12.75">
      <c r="B382" s="88"/>
      <c r="C382" s="88"/>
      <c r="D382" s="88"/>
      <c r="E382" s="88"/>
      <c r="F382" s="88"/>
      <c r="G382" s="88"/>
      <c r="H382" s="88"/>
      <c r="I382" s="88"/>
      <c r="J382" s="88"/>
      <c r="K382" s="88"/>
      <c r="L382" s="88"/>
      <c r="M382" s="88"/>
      <c r="N382" s="88"/>
      <c r="O382" s="88"/>
    </row>
    <row r="383" spans="2:15" ht="12.75">
      <c r="B383" s="88"/>
      <c r="C383" s="88"/>
      <c r="D383" s="88"/>
      <c r="E383" s="88"/>
      <c r="F383" s="88"/>
      <c r="G383" s="88"/>
      <c r="H383" s="88"/>
      <c r="I383" s="88"/>
      <c r="J383" s="88"/>
      <c r="K383" s="88"/>
      <c r="L383" s="88"/>
      <c r="M383" s="88"/>
      <c r="N383" s="88"/>
      <c r="O383" s="88"/>
    </row>
    <row r="384" spans="2:15" ht="12.75">
      <c r="B384" s="88"/>
      <c r="C384" s="88"/>
      <c r="D384" s="88"/>
      <c r="E384" s="88"/>
      <c r="F384" s="88"/>
      <c r="G384" s="88"/>
      <c r="H384" s="88"/>
      <c r="I384" s="88"/>
      <c r="J384" s="88"/>
      <c r="K384" s="88"/>
      <c r="L384" s="88"/>
      <c r="M384" s="88"/>
      <c r="N384" s="88"/>
      <c r="O384" s="88"/>
    </row>
    <row r="385" spans="2:15" ht="12.75">
      <c r="B385" s="88"/>
      <c r="C385" s="88"/>
      <c r="D385" s="88"/>
      <c r="E385" s="88"/>
      <c r="F385" s="88"/>
      <c r="G385" s="88"/>
      <c r="H385" s="88"/>
      <c r="I385" s="88"/>
      <c r="J385" s="88"/>
      <c r="K385" s="88"/>
      <c r="L385" s="88"/>
      <c r="M385" s="88"/>
      <c r="N385" s="88"/>
      <c r="O385" s="88"/>
    </row>
    <row r="386" spans="2:15" ht="12.75">
      <c r="B386" s="88"/>
      <c r="C386" s="88"/>
      <c r="D386" s="88"/>
      <c r="E386" s="88"/>
      <c r="F386" s="88"/>
      <c r="G386" s="88"/>
      <c r="H386" s="88"/>
      <c r="I386" s="88"/>
      <c r="J386" s="88"/>
      <c r="K386" s="88"/>
      <c r="L386" s="88"/>
      <c r="M386" s="88"/>
      <c r="N386" s="88"/>
      <c r="O386" s="88"/>
    </row>
    <row r="387" spans="2:15" ht="12.75">
      <c r="B387" s="88"/>
      <c r="C387" s="88"/>
      <c r="D387" s="88"/>
      <c r="E387" s="88"/>
      <c r="F387" s="88"/>
      <c r="G387" s="88"/>
      <c r="H387" s="88"/>
      <c r="I387" s="88"/>
      <c r="J387" s="88"/>
      <c r="K387" s="88"/>
      <c r="L387" s="88"/>
      <c r="M387" s="88"/>
      <c r="N387" s="88"/>
      <c r="O387" s="88"/>
    </row>
    <row r="388" spans="2:15" ht="12.75">
      <c r="B388" s="88"/>
      <c r="C388" s="88"/>
      <c r="D388" s="88"/>
      <c r="E388" s="88"/>
      <c r="F388" s="88"/>
      <c r="G388" s="88"/>
      <c r="H388" s="88"/>
      <c r="I388" s="88"/>
      <c r="J388" s="88"/>
      <c r="K388" s="88"/>
      <c r="L388" s="88"/>
      <c r="M388" s="88"/>
      <c r="N388" s="88"/>
      <c r="O388" s="88"/>
    </row>
    <row r="389" spans="2:15" ht="12.75">
      <c r="B389" s="88"/>
      <c r="C389" s="88"/>
      <c r="D389" s="88"/>
      <c r="E389" s="88"/>
      <c r="F389" s="88"/>
      <c r="G389" s="88"/>
      <c r="H389" s="88"/>
      <c r="I389" s="88"/>
      <c r="J389" s="88"/>
      <c r="K389" s="88"/>
      <c r="L389" s="88"/>
      <c r="M389" s="88"/>
      <c r="N389" s="88"/>
      <c r="O389" s="88"/>
    </row>
    <row r="390" spans="2:15" ht="12.75">
      <c r="B390" s="88"/>
      <c r="C390" s="88"/>
      <c r="D390" s="88"/>
      <c r="E390" s="88"/>
      <c r="F390" s="88"/>
      <c r="G390" s="88"/>
      <c r="H390" s="88"/>
      <c r="I390" s="88"/>
      <c r="J390" s="88"/>
      <c r="K390" s="88"/>
      <c r="L390" s="88"/>
      <c r="M390" s="88"/>
      <c r="N390" s="88"/>
      <c r="O390" s="88"/>
    </row>
    <row r="391" spans="2:15" ht="12.75">
      <c r="B391" s="88"/>
      <c r="C391" s="88"/>
      <c r="D391" s="88"/>
      <c r="E391" s="88"/>
      <c r="F391" s="88"/>
      <c r="G391" s="88"/>
      <c r="H391" s="88"/>
      <c r="I391" s="88"/>
      <c r="J391" s="88"/>
      <c r="K391" s="88"/>
      <c r="L391" s="88"/>
      <c r="M391" s="88"/>
      <c r="N391" s="88"/>
      <c r="O391" s="88"/>
    </row>
    <row r="392" spans="2:15" ht="12.75">
      <c r="B392" s="88"/>
      <c r="C392" s="88"/>
      <c r="D392" s="88"/>
      <c r="E392" s="88"/>
      <c r="F392" s="88"/>
      <c r="G392" s="88"/>
      <c r="H392" s="88"/>
      <c r="I392" s="88"/>
      <c r="J392" s="88"/>
      <c r="K392" s="88"/>
      <c r="L392" s="88"/>
      <c r="M392" s="88"/>
      <c r="N392" s="88"/>
      <c r="O392" s="88"/>
    </row>
    <row r="393" spans="2:15" ht="12.75">
      <c r="B393" s="88"/>
      <c r="C393" s="88"/>
      <c r="D393" s="88"/>
      <c r="E393" s="88"/>
      <c r="F393" s="88"/>
      <c r="G393" s="88"/>
      <c r="H393" s="88"/>
      <c r="I393" s="88"/>
      <c r="J393" s="88"/>
      <c r="K393" s="88"/>
      <c r="L393" s="88"/>
      <c r="M393" s="88"/>
      <c r="N393" s="88"/>
      <c r="O393" s="88"/>
    </row>
    <row r="394" spans="2:15" ht="12.75">
      <c r="B394" s="88"/>
      <c r="C394" s="88"/>
      <c r="D394" s="88"/>
      <c r="E394" s="88"/>
      <c r="F394" s="88"/>
      <c r="G394" s="88"/>
      <c r="H394" s="88"/>
      <c r="I394" s="88"/>
      <c r="J394" s="88"/>
      <c r="K394" s="88"/>
      <c r="L394" s="88"/>
      <c r="M394" s="88"/>
      <c r="N394" s="88"/>
      <c r="O394" s="88"/>
    </row>
    <row r="395" spans="2:15" ht="12.75">
      <c r="B395" s="88"/>
      <c r="C395" s="88"/>
      <c r="D395" s="88"/>
      <c r="E395" s="88"/>
      <c r="F395" s="88"/>
      <c r="G395" s="88"/>
      <c r="H395" s="88"/>
      <c r="I395" s="88"/>
      <c r="J395" s="88"/>
      <c r="K395" s="88"/>
      <c r="L395" s="88"/>
      <c r="M395" s="88"/>
      <c r="N395" s="88"/>
      <c r="O395" s="88"/>
    </row>
    <row r="396" spans="2:15" ht="12.75">
      <c r="B396" s="88"/>
      <c r="C396" s="88"/>
      <c r="D396" s="88"/>
      <c r="E396" s="88"/>
      <c r="F396" s="88"/>
      <c r="G396" s="88"/>
      <c r="H396" s="88"/>
      <c r="I396" s="88"/>
      <c r="J396" s="88"/>
      <c r="K396" s="88"/>
      <c r="L396" s="88"/>
      <c r="M396" s="88"/>
      <c r="N396" s="88"/>
      <c r="O396" s="88"/>
    </row>
    <row r="397" spans="2:15" ht="12.75">
      <c r="B397" s="88"/>
      <c r="C397" s="88"/>
      <c r="D397" s="88"/>
      <c r="E397" s="88"/>
      <c r="F397" s="88"/>
      <c r="G397" s="88"/>
      <c r="H397" s="88"/>
      <c r="I397" s="88"/>
      <c r="J397" s="88"/>
      <c r="K397" s="88"/>
      <c r="L397" s="88"/>
      <c r="M397" s="88"/>
      <c r="N397" s="88"/>
      <c r="O397" s="88"/>
    </row>
    <row r="398" spans="2:15" ht="12.75">
      <c r="B398" s="88"/>
      <c r="C398" s="88"/>
      <c r="D398" s="88"/>
      <c r="E398" s="88"/>
      <c r="F398" s="88"/>
      <c r="G398" s="88"/>
      <c r="H398" s="88"/>
      <c r="I398" s="88"/>
      <c r="J398" s="88"/>
      <c r="K398" s="88"/>
      <c r="L398" s="88"/>
      <c r="M398" s="88"/>
      <c r="N398" s="88"/>
      <c r="O398" s="88"/>
    </row>
    <row r="399" spans="2:15" ht="12.75">
      <c r="B399" s="88"/>
      <c r="C399" s="88"/>
      <c r="D399" s="88"/>
      <c r="E399" s="88"/>
      <c r="F399" s="88"/>
      <c r="G399" s="88"/>
      <c r="H399" s="88"/>
      <c r="I399" s="88"/>
      <c r="J399" s="88"/>
      <c r="K399" s="88"/>
      <c r="L399" s="88"/>
      <c r="M399" s="88"/>
      <c r="N399" s="88"/>
      <c r="O399" s="88"/>
    </row>
    <row r="400" spans="2:15" ht="12.75">
      <c r="B400" s="88"/>
      <c r="C400" s="88"/>
      <c r="D400" s="88"/>
      <c r="E400" s="88"/>
      <c r="F400" s="88"/>
      <c r="G400" s="88"/>
      <c r="H400" s="88"/>
      <c r="I400" s="88"/>
      <c r="J400" s="88"/>
      <c r="K400" s="88"/>
      <c r="L400" s="88"/>
      <c r="M400" s="88"/>
      <c r="N400" s="88"/>
      <c r="O400" s="88"/>
    </row>
    <row r="401" spans="2:15" ht="12.75">
      <c r="B401" s="88"/>
      <c r="C401" s="88"/>
      <c r="D401" s="88"/>
      <c r="E401" s="88"/>
      <c r="F401" s="88"/>
      <c r="G401" s="88"/>
      <c r="H401" s="88"/>
      <c r="I401" s="88"/>
      <c r="J401" s="88"/>
      <c r="K401" s="88"/>
      <c r="L401" s="88"/>
      <c r="M401" s="88"/>
      <c r="N401" s="88"/>
      <c r="O401" s="88"/>
    </row>
    <row r="402" spans="2:15" ht="12.75">
      <c r="B402" s="88"/>
      <c r="C402" s="88"/>
      <c r="D402" s="88"/>
      <c r="E402" s="88"/>
      <c r="F402" s="88"/>
      <c r="G402" s="88"/>
      <c r="H402" s="88"/>
      <c r="I402" s="88"/>
      <c r="J402" s="88"/>
      <c r="K402" s="88"/>
      <c r="L402" s="88"/>
      <c r="M402" s="88"/>
      <c r="N402" s="88"/>
      <c r="O402" s="88"/>
    </row>
    <row r="403" spans="2:15" ht="12.75">
      <c r="B403" s="88"/>
      <c r="C403" s="88"/>
      <c r="D403" s="88"/>
      <c r="E403" s="88"/>
      <c r="F403" s="88"/>
      <c r="G403" s="88"/>
      <c r="H403" s="88"/>
      <c r="I403" s="88"/>
      <c r="J403" s="88"/>
      <c r="K403" s="88"/>
      <c r="L403" s="88"/>
      <c r="M403" s="88"/>
      <c r="N403" s="88"/>
      <c r="O403" s="88"/>
    </row>
    <row r="404" spans="2:15" ht="12.75">
      <c r="B404" s="88"/>
      <c r="C404" s="88"/>
      <c r="D404" s="88"/>
      <c r="E404" s="88"/>
      <c r="F404" s="88"/>
      <c r="G404" s="88"/>
      <c r="H404" s="88"/>
      <c r="I404" s="88"/>
      <c r="J404" s="88"/>
      <c r="K404" s="88"/>
      <c r="L404" s="88"/>
      <c r="M404" s="88"/>
      <c r="N404" s="88"/>
      <c r="O404" s="88"/>
    </row>
    <row r="405" spans="2:15" ht="12.75">
      <c r="B405" s="88"/>
      <c r="C405" s="88"/>
      <c r="D405" s="88"/>
      <c r="E405" s="88"/>
      <c r="F405" s="88"/>
      <c r="G405" s="88"/>
      <c r="H405" s="88"/>
      <c r="I405" s="88"/>
      <c r="J405" s="88"/>
      <c r="K405" s="88"/>
      <c r="L405" s="88"/>
      <c r="M405" s="88"/>
      <c r="N405" s="88"/>
      <c r="O405" s="88"/>
    </row>
    <row r="406" spans="2:15" ht="12.75">
      <c r="B406" s="88"/>
      <c r="C406" s="88"/>
      <c r="D406" s="88"/>
      <c r="E406" s="88"/>
      <c r="F406" s="88"/>
      <c r="G406" s="88"/>
      <c r="H406" s="88"/>
      <c r="I406" s="88"/>
      <c r="J406" s="88"/>
      <c r="K406" s="88"/>
      <c r="L406" s="88"/>
      <c r="M406" s="88"/>
      <c r="N406" s="88"/>
      <c r="O406" s="88"/>
    </row>
    <row r="407" spans="2:15" ht="12.75">
      <c r="B407" s="88"/>
      <c r="C407" s="88"/>
      <c r="D407" s="88"/>
      <c r="E407" s="88"/>
      <c r="F407" s="88"/>
      <c r="G407" s="88"/>
      <c r="H407" s="88"/>
      <c r="I407" s="88"/>
      <c r="J407" s="88"/>
      <c r="K407" s="88"/>
      <c r="L407" s="88"/>
      <c r="M407" s="88"/>
      <c r="N407" s="88"/>
      <c r="O407" s="88"/>
    </row>
    <row r="408" spans="2:15" ht="12.75">
      <c r="B408" s="88"/>
      <c r="C408" s="88"/>
      <c r="D408" s="88"/>
      <c r="E408" s="88"/>
      <c r="F408" s="88"/>
      <c r="G408" s="88"/>
      <c r="H408" s="88"/>
      <c r="I408" s="88"/>
      <c r="J408" s="88"/>
      <c r="K408" s="88"/>
      <c r="L408" s="88"/>
      <c r="M408" s="88"/>
      <c r="N408" s="88"/>
      <c r="O408" s="88"/>
    </row>
    <row r="409" spans="2:15" ht="12.75">
      <c r="B409" s="88"/>
      <c r="C409" s="88"/>
      <c r="D409" s="88"/>
      <c r="E409" s="88"/>
      <c r="F409" s="88"/>
      <c r="G409" s="88"/>
      <c r="H409" s="88"/>
      <c r="I409" s="88"/>
      <c r="J409" s="88"/>
      <c r="K409" s="88"/>
      <c r="L409" s="88"/>
      <c r="M409" s="88"/>
      <c r="N409" s="88"/>
      <c r="O409" s="88"/>
    </row>
    <row r="410" spans="2:15" ht="12.75">
      <c r="B410" s="88"/>
      <c r="C410" s="88"/>
      <c r="D410" s="88"/>
      <c r="E410" s="88"/>
      <c r="F410" s="88"/>
      <c r="G410" s="88"/>
      <c r="H410" s="88"/>
      <c r="I410" s="88"/>
      <c r="J410" s="88"/>
      <c r="K410" s="88"/>
      <c r="L410" s="88"/>
      <c r="M410" s="88"/>
      <c r="N410" s="88"/>
      <c r="O410" s="88"/>
    </row>
    <row r="411" spans="2:15" ht="12.75">
      <c r="B411" s="88"/>
      <c r="C411" s="88"/>
      <c r="D411" s="88"/>
      <c r="E411" s="88"/>
      <c r="F411" s="88"/>
      <c r="G411" s="88"/>
      <c r="H411" s="88"/>
      <c r="I411" s="88"/>
      <c r="J411" s="88"/>
      <c r="K411" s="88"/>
      <c r="L411" s="88"/>
      <c r="M411" s="88"/>
      <c r="N411" s="88"/>
      <c r="O411" s="88"/>
    </row>
    <row r="412" spans="2:15" ht="12.75">
      <c r="B412" s="88"/>
      <c r="C412" s="88"/>
      <c r="D412" s="88"/>
      <c r="E412" s="88"/>
      <c r="F412" s="88"/>
      <c r="G412" s="88"/>
      <c r="H412" s="88"/>
      <c r="I412" s="88"/>
      <c r="J412" s="88"/>
      <c r="K412" s="88"/>
      <c r="L412" s="88"/>
      <c r="M412" s="88"/>
      <c r="N412" s="88"/>
      <c r="O412" s="88"/>
    </row>
    <row r="413" spans="2:15" ht="12.75">
      <c r="B413" s="88"/>
      <c r="C413" s="88"/>
      <c r="D413" s="88"/>
      <c r="E413" s="88"/>
      <c r="F413" s="88"/>
      <c r="G413" s="88"/>
      <c r="H413" s="88"/>
      <c r="I413" s="88"/>
      <c r="J413" s="88"/>
      <c r="K413" s="88"/>
      <c r="L413" s="88"/>
      <c r="M413" s="88"/>
      <c r="N413" s="88"/>
      <c r="O413" s="88"/>
    </row>
    <row r="414" spans="2:15" ht="12.75">
      <c r="B414" s="88"/>
      <c r="C414" s="88"/>
      <c r="D414" s="88"/>
      <c r="E414" s="88"/>
      <c r="F414" s="88"/>
      <c r="G414" s="88"/>
      <c r="H414" s="88"/>
      <c r="I414" s="88"/>
      <c r="J414" s="88"/>
      <c r="K414" s="88"/>
      <c r="L414" s="88"/>
      <c r="M414" s="88"/>
      <c r="N414" s="88"/>
      <c r="O414" s="88"/>
    </row>
    <row r="415" spans="2:15" ht="12.75">
      <c r="B415" s="88"/>
      <c r="C415" s="88"/>
      <c r="D415" s="88"/>
      <c r="E415" s="88"/>
      <c r="F415" s="88"/>
      <c r="G415" s="88"/>
      <c r="H415" s="88"/>
      <c r="I415" s="88"/>
      <c r="J415" s="88"/>
      <c r="K415" s="88"/>
      <c r="L415" s="88"/>
      <c r="M415" s="88"/>
      <c r="N415" s="88"/>
      <c r="O415" s="88"/>
    </row>
    <row r="416" spans="2:15" ht="12.75">
      <c r="B416" s="88"/>
      <c r="C416" s="88"/>
      <c r="D416" s="88"/>
      <c r="E416" s="88"/>
      <c r="F416" s="88"/>
      <c r="G416" s="88"/>
      <c r="H416" s="88"/>
      <c r="I416" s="88"/>
      <c r="J416" s="88"/>
      <c r="K416" s="88"/>
      <c r="L416" s="88"/>
      <c r="M416" s="88"/>
      <c r="N416" s="88"/>
      <c r="O416" s="88"/>
    </row>
    <row r="417" spans="2:15" ht="12.75">
      <c r="B417" s="88"/>
      <c r="C417" s="88"/>
      <c r="D417" s="88"/>
      <c r="E417" s="88"/>
      <c r="F417" s="88"/>
      <c r="G417" s="88"/>
      <c r="H417" s="88"/>
      <c r="I417" s="88"/>
      <c r="J417" s="88"/>
      <c r="K417" s="88"/>
      <c r="L417" s="88"/>
      <c r="M417" s="88"/>
      <c r="N417" s="88"/>
      <c r="O417" s="88"/>
    </row>
    <row r="418" spans="2:15" ht="12.75">
      <c r="B418" s="88"/>
      <c r="C418" s="88"/>
      <c r="D418" s="88"/>
      <c r="E418" s="88"/>
      <c r="F418" s="88"/>
      <c r="G418" s="88"/>
      <c r="H418" s="88"/>
      <c r="I418" s="88"/>
      <c r="J418" s="88"/>
      <c r="K418" s="88"/>
      <c r="L418" s="88"/>
      <c r="M418" s="88"/>
      <c r="N418" s="88"/>
      <c r="O418" s="88"/>
    </row>
    <row r="419" spans="2:15" ht="12.75">
      <c r="B419" s="88"/>
      <c r="C419" s="88"/>
      <c r="D419" s="88"/>
      <c r="E419" s="88"/>
      <c r="F419" s="88"/>
      <c r="G419" s="88"/>
      <c r="H419" s="88"/>
      <c r="I419" s="88"/>
      <c r="J419" s="88"/>
      <c r="K419" s="88"/>
      <c r="L419" s="88"/>
      <c r="M419" s="88"/>
      <c r="N419" s="88"/>
      <c r="O419" s="88"/>
    </row>
    <row r="420" spans="2:15" ht="12.75">
      <c r="B420" s="88"/>
      <c r="C420" s="88"/>
      <c r="D420" s="88"/>
      <c r="E420" s="88"/>
      <c r="F420" s="88"/>
      <c r="G420" s="88"/>
      <c r="H420" s="88"/>
      <c r="I420" s="88"/>
      <c r="J420" s="88"/>
      <c r="K420" s="88"/>
      <c r="L420" s="88"/>
      <c r="M420" s="88"/>
      <c r="N420" s="88"/>
      <c r="O420" s="88"/>
    </row>
    <row r="421" spans="2:15" ht="12.75">
      <c r="B421" s="88"/>
      <c r="C421" s="88"/>
      <c r="D421" s="88"/>
      <c r="E421" s="88"/>
      <c r="F421" s="88"/>
      <c r="G421" s="88"/>
      <c r="H421" s="88"/>
      <c r="I421" s="88"/>
      <c r="J421" s="88"/>
      <c r="K421" s="88"/>
      <c r="L421" s="88"/>
      <c r="M421" s="88"/>
      <c r="N421" s="88"/>
      <c r="O421" s="88"/>
    </row>
    <row r="422" spans="2:15" ht="12.75">
      <c r="B422" s="88"/>
      <c r="C422" s="88"/>
      <c r="D422" s="88"/>
      <c r="E422" s="88"/>
      <c r="F422" s="88"/>
      <c r="G422" s="88"/>
      <c r="H422" s="88"/>
      <c r="I422" s="88"/>
      <c r="J422" s="88"/>
      <c r="K422" s="88"/>
      <c r="L422" s="88"/>
      <c r="M422" s="88"/>
      <c r="N422" s="88"/>
      <c r="O422" s="88"/>
    </row>
    <row r="423" spans="2:15" ht="12.75">
      <c r="B423" s="88"/>
      <c r="C423" s="88"/>
      <c r="D423" s="88"/>
      <c r="E423" s="88"/>
      <c r="F423" s="88"/>
      <c r="G423" s="88"/>
      <c r="H423" s="88"/>
      <c r="I423" s="88"/>
      <c r="J423" s="88"/>
      <c r="K423" s="88"/>
      <c r="L423" s="88"/>
      <c r="M423" s="88"/>
      <c r="N423" s="88"/>
      <c r="O423" s="88"/>
    </row>
    <row r="424" spans="2:15" ht="12.75">
      <c r="B424" s="88"/>
      <c r="C424" s="88"/>
      <c r="D424" s="88"/>
      <c r="E424" s="88"/>
      <c r="F424" s="88"/>
      <c r="G424" s="88"/>
      <c r="H424" s="88"/>
      <c r="I424" s="88"/>
      <c r="J424" s="88"/>
      <c r="K424" s="88"/>
      <c r="L424" s="88"/>
      <c r="M424" s="88"/>
      <c r="N424" s="88"/>
      <c r="O424" s="88"/>
    </row>
    <row r="425" spans="2:15" ht="12.75">
      <c r="B425" s="88"/>
      <c r="C425" s="88"/>
      <c r="D425" s="88"/>
      <c r="E425" s="88"/>
      <c r="F425" s="88"/>
      <c r="G425" s="88"/>
      <c r="H425" s="88"/>
      <c r="I425" s="88"/>
      <c r="J425" s="88"/>
      <c r="K425" s="88"/>
      <c r="L425" s="88"/>
      <c r="M425" s="88"/>
      <c r="N425" s="88"/>
      <c r="O425" s="88"/>
    </row>
    <row r="426" spans="2:15" ht="12.75">
      <c r="B426" s="88"/>
      <c r="C426" s="88"/>
      <c r="D426" s="88"/>
      <c r="E426" s="88"/>
      <c r="F426" s="88"/>
      <c r="G426" s="88"/>
      <c r="H426" s="88"/>
      <c r="I426" s="88"/>
      <c r="J426" s="88"/>
      <c r="K426" s="88"/>
      <c r="L426" s="88"/>
      <c r="M426" s="88"/>
      <c r="N426" s="88"/>
      <c r="O426" s="88"/>
    </row>
    <row r="427" spans="2:15" ht="12.75">
      <c r="B427" s="88"/>
      <c r="C427" s="88"/>
      <c r="D427" s="88"/>
      <c r="E427" s="88"/>
      <c r="F427" s="88"/>
      <c r="G427" s="88"/>
      <c r="H427" s="88"/>
      <c r="I427" s="88"/>
      <c r="J427" s="88"/>
      <c r="K427" s="88"/>
      <c r="L427" s="88"/>
      <c r="M427" s="88"/>
      <c r="N427" s="88"/>
      <c r="O427" s="88"/>
    </row>
    <row r="428" spans="2:15" ht="12.75">
      <c r="B428" s="88"/>
      <c r="C428" s="88"/>
      <c r="D428" s="88"/>
      <c r="E428" s="88"/>
      <c r="F428" s="88"/>
      <c r="G428" s="88"/>
      <c r="H428" s="88"/>
      <c r="I428" s="88"/>
      <c r="J428" s="88"/>
      <c r="K428" s="88"/>
      <c r="L428" s="88"/>
      <c r="M428" s="88"/>
      <c r="N428" s="88"/>
      <c r="O428" s="88"/>
    </row>
    <row r="429" spans="2:15" ht="12.75">
      <c r="B429" s="88"/>
      <c r="C429" s="88"/>
      <c r="D429" s="88"/>
      <c r="E429" s="88"/>
      <c r="F429" s="88"/>
      <c r="G429" s="88"/>
      <c r="H429" s="88"/>
      <c r="I429" s="88"/>
      <c r="J429" s="88"/>
      <c r="K429" s="88"/>
      <c r="L429" s="88"/>
      <c r="M429" s="88"/>
      <c r="N429" s="88"/>
      <c r="O429" s="88"/>
    </row>
    <row r="430" spans="2:15" ht="12.75">
      <c r="B430" s="88"/>
      <c r="C430" s="88"/>
      <c r="D430" s="88"/>
      <c r="E430" s="88"/>
      <c r="F430" s="88"/>
      <c r="G430" s="88"/>
      <c r="H430" s="88"/>
      <c r="I430" s="88"/>
      <c r="J430" s="88"/>
      <c r="K430" s="88"/>
      <c r="L430" s="88"/>
      <c r="M430" s="88"/>
      <c r="N430" s="88"/>
      <c r="O430" s="88"/>
    </row>
    <row r="431" spans="2:15" ht="12.75">
      <c r="B431" s="88"/>
      <c r="C431" s="88"/>
      <c r="D431" s="88"/>
      <c r="E431" s="88"/>
      <c r="F431" s="88"/>
      <c r="G431" s="88"/>
      <c r="H431" s="88"/>
      <c r="I431" s="88"/>
      <c r="J431" s="88"/>
      <c r="K431" s="88"/>
      <c r="L431" s="88"/>
      <c r="M431" s="88"/>
      <c r="N431" s="88"/>
      <c r="O431" s="88"/>
    </row>
    <row r="432" spans="2:15" ht="12.75">
      <c r="B432" s="88"/>
      <c r="C432" s="88"/>
      <c r="D432" s="88"/>
      <c r="E432" s="88"/>
      <c r="F432" s="88"/>
      <c r="G432" s="88"/>
      <c r="H432" s="88"/>
      <c r="I432" s="88"/>
      <c r="J432" s="88"/>
      <c r="K432" s="88"/>
      <c r="L432" s="88"/>
      <c r="M432" s="88"/>
      <c r="N432" s="88"/>
      <c r="O432" s="88"/>
    </row>
    <row r="433" spans="2:15" ht="12.75">
      <c r="B433" s="88"/>
      <c r="C433" s="88"/>
      <c r="D433" s="88"/>
      <c r="E433" s="88"/>
      <c r="F433" s="88"/>
      <c r="G433" s="88"/>
      <c r="H433" s="88"/>
      <c r="I433" s="88"/>
      <c r="J433" s="88"/>
      <c r="K433" s="88"/>
      <c r="L433" s="88"/>
      <c r="M433" s="88"/>
      <c r="N433" s="88"/>
      <c r="O433" s="88"/>
    </row>
    <row r="434" spans="2:15" ht="12.75">
      <c r="B434" s="88"/>
      <c r="C434" s="88"/>
      <c r="D434" s="88"/>
      <c r="E434" s="88"/>
      <c r="F434" s="88"/>
      <c r="G434" s="88"/>
      <c r="H434" s="88"/>
      <c r="I434" s="88"/>
      <c r="J434" s="88"/>
      <c r="K434" s="88"/>
      <c r="L434" s="88"/>
      <c r="M434" s="88"/>
      <c r="N434" s="88"/>
      <c r="O434" s="88"/>
    </row>
    <row r="435" spans="2:15" ht="12.75">
      <c r="B435" s="88"/>
      <c r="C435" s="88"/>
      <c r="D435" s="88"/>
      <c r="E435" s="88"/>
      <c r="F435" s="88"/>
      <c r="G435" s="88"/>
      <c r="H435" s="88"/>
      <c r="I435" s="88"/>
      <c r="J435" s="88"/>
      <c r="K435" s="88"/>
      <c r="L435" s="88"/>
      <c r="M435" s="88"/>
      <c r="N435" s="88"/>
      <c r="O435" s="88"/>
    </row>
    <row r="436" spans="2:15" ht="12.75">
      <c r="B436" s="88"/>
      <c r="C436" s="88"/>
      <c r="D436" s="88"/>
      <c r="E436" s="88"/>
      <c r="F436" s="88"/>
      <c r="G436" s="88"/>
      <c r="H436" s="88"/>
      <c r="I436" s="88"/>
      <c r="J436" s="88"/>
      <c r="K436" s="88"/>
      <c r="L436" s="88"/>
      <c r="M436" s="88"/>
      <c r="N436" s="88"/>
      <c r="O436" s="88"/>
    </row>
    <row r="437" spans="2:15" ht="12.75">
      <c r="B437" s="88"/>
      <c r="C437" s="88"/>
      <c r="D437" s="88"/>
      <c r="E437" s="88"/>
      <c r="F437" s="88"/>
      <c r="G437" s="88"/>
      <c r="H437" s="88"/>
      <c r="I437" s="88"/>
      <c r="J437" s="88"/>
      <c r="K437" s="88"/>
      <c r="L437" s="88"/>
      <c r="M437" s="88"/>
      <c r="N437" s="88"/>
      <c r="O437" s="88"/>
    </row>
    <row r="438" spans="2:15" ht="12.75">
      <c r="B438" s="88"/>
      <c r="C438" s="88"/>
      <c r="D438" s="88"/>
      <c r="E438" s="88"/>
      <c r="F438" s="88"/>
      <c r="G438" s="88"/>
      <c r="H438" s="88"/>
      <c r="I438" s="88"/>
      <c r="J438" s="88"/>
      <c r="K438" s="88"/>
      <c r="L438" s="88"/>
      <c r="M438" s="88"/>
      <c r="N438" s="88"/>
      <c r="O438" s="88"/>
    </row>
    <row r="439" spans="2:15" ht="12.75">
      <c r="B439" s="88"/>
      <c r="C439" s="88"/>
      <c r="D439" s="88"/>
      <c r="E439" s="88"/>
      <c r="F439" s="88"/>
      <c r="G439" s="88"/>
      <c r="H439" s="88"/>
      <c r="I439" s="88"/>
      <c r="J439" s="88"/>
      <c r="K439" s="88"/>
      <c r="L439" s="88"/>
      <c r="M439" s="88"/>
      <c r="N439" s="88"/>
      <c r="O439" s="88"/>
    </row>
    <row r="440" spans="2:15" ht="12.75">
      <c r="B440" s="88"/>
      <c r="C440" s="88"/>
      <c r="D440" s="88"/>
      <c r="E440" s="88"/>
      <c r="F440" s="88"/>
      <c r="G440" s="88"/>
      <c r="H440" s="88"/>
      <c r="I440" s="88"/>
      <c r="J440" s="88"/>
      <c r="K440" s="88"/>
      <c r="L440" s="88"/>
      <c r="M440" s="88"/>
      <c r="N440" s="88"/>
      <c r="O440" s="88"/>
    </row>
    <row r="441" spans="2:15" ht="12.75">
      <c r="B441" s="88"/>
      <c r="C441" s="88"/>
      <c r="D441" s="88"/>
      <c r="E441" s="88"/>
      <c r="F441" s="88"/>
      <c r="G441" s="88"/>
      <c r="H441" s="88"/>
      <c r="I441" s="88"/>
      <c r="J441" s="88"/>
      <c r="K441" s="88"/>
      <c r="L441" s="88"/>
      <c r="M441" s="88"/>
      <c r="N441" s="88"/>
      <c r="O441" s="88"/>
    </row>
    <row r="442" spans="2:15" ht="12.75">
      <c r="B442" s="88"/>
      <c r="C442" s="88"/>
      <c r="D442" s="88"/>
      <c r="E442" s="88"/>
      <c r="F442" s="88"/>
      <c r="G442" s="88"/>
      <c r="H442" s="88"/>
      <c r="I442" s="88"/>
      <c r="J442" s="88"/>
      <c r="K442" s="88"/>
      <c r="L442" s="88"/>
      <c r="M442" s="88"/>
      <c r="N442" s="88"/>
      <c r="O442" s="88"/>
    </row>
    <row r="443" spans="2:15" ht="12.75">
      <c r="B443" s="88"/>
      <c r="C443" s="88"/>
      <c r="D443" s="88"/>
      <c r="E443" s="88"/>
      <c r="F443" s="88"/>
      <c r="G443" s="88"/>
      <c r="H443" s="88"/>
      <c r="I443" s="88"/>
      <c r="J443" s="88"/>
      <c r="K443" s="88"/>
      <c r="L443" s="88"/>
      <c r="M443" s="88"/>
      <c r="N443" s="88"/>
      <c r="O443" s="88"/>
    </row>
    <row r="444" spans="2:15" ht="12.75">
      <c r="B444" s="88"/>
      <c r="C444" s="88"/>
      <c r="D444" s="88"/>
      <c r="E444" s="88"/>
      <c r="F444" s="88"/>
      <c r="G444" s="88"/>
      <c r="H444" s="88"/>
      <c r="I444" s="88"/>
      <c r="J444" s="88"/>
      <c r="K444" s="88"/>
      <c r="L444" s="88"/>
      <c r="M444" s="88"/>
      <c r="N444" s="88"/>
      <c r="O444" s="88"/>
    </row>
    <row r="445" spans="2:15" ht="12.75">
      <c r="B445" s="88"/>
      <c r="C445" s="88"/>
      <c r="D445" s="88"/>
      <c r="E445" s="88"/>
      <c r="F445" s="88"/>
      <c r="G445" s="88"/>
      <c r="H445" s="88"/>
      <c r="I445" s="88"/>
      <c r="J445" s="88"/>
      <c r="K445" s="88"/>
      <c r="L445" s="88"/>
      <c r="M445" s="88"/>
      <c r="N445" s="88"/>
      <c r="O445" s="88"/>
    </row>
    <row r="446" spans="2:15" ht="12.75">
      <c r="B446" s="88"/>
      <c r="C446" s="88"/>
      <c r="D446" s="88"/>
      <c r="E446" s="88"/>
      <c r="F446" s="88"/>
      <c r="G446" s="88"/>
      <c r="H446" s="88"/>
      <c r="I446" s="88"/>
      <c r="J446" s="88"/>
      <c r="K446" s="88"/>
      <c r="L446" s="88"/>
      <c r="M446" s="88"/>
      <c r="N446" s="88"/>
      <c r="O446" s="88"/>
    </row>
    <row r="447" spans="2:15" ht="12.75">
      <c r="B447" s="88"/>
      <c r="C447" s="88"/>
      <c r="D447" s="88"/>
      <c r="E447" s="88"/>
      <c r="F447" s="88"/>
      <c r="G447" s="88"/>
      <c r="H447" s="88"/>
      <c r="I447" s="88"/>
      <c r="J447" s="88"/>
      <c r="K447" s="88"/>
      <c r="L447" s="88"/>
      <c r="M447" s="88"/>
      <c r="N447" s="88"/>
      <c r="O447" s="88"/>
    </row>
    <row r="448" spans="2:15" ht="12.75">
      <c r="B448" s="88"/>
      <c r="C448" s="88"/>
      <c r="D448" s="88"/>
      <c r="E448" s="88"/>
      <c r="F448" s="88"/>
      <c r="G448" s="88"/>
      <c r="H448" s="88"/>
      <c r="I448" s="88"/>
      <c r="J448" s="88"/>
      <c r="K448" s="88"/>
      <c r="L448" s="88"/>
      <c r="M448" s="88"/>
      <c r="N448" s="88"/>
      <c r="O448" s="88"/>
    </row>
    <row r="449" spans="2:15" ht="12.75">
      <c r="B449" s="88"/>
      <c r="C449" s="88"/>
      <c r="D449" s="88"/>
      <c r="E449" s="88"/>
      <c r="F449" s="88"/>
      <c r="G449" s="88"/>
      <c r="H449" s="88"/>
      <c r="I449" s="88"/>
      <c r="J449" s="88"/>
      <c r="K449" s="88"/>
      <c r="L449" s="88"/>
      <c r="M449" s="88"/>
      <c r="N449" s="88"/>
      <c r="O449" s="88"/>
    </row>
    <row r="450" spans="2:15" ht="12.75">
      <c r="B450" s="88"/>
      <c r="C450" s="88"/>
      <c r="D450" s="88"/>
      <c r="E450" s="88"/>
      <c r="F450" s="88"/>
      <c r="G450" s="88"/>
      <c r="H450" s="88"/>
      <c r="I450" s="88"/>
      <c r="J450" s="88"/>
      <c r="K450" s="88"/>
      <c r="L450" s="88"/>
      <c r="M450" s="88"/>
      <c r="N450" s="88"/>
      <c r="O450" s="88"/>
    </row>
    <row r="451" spans="2:15" ht="12.75">
      <c r="B451" s="88"/>
      <c r="C451" s="88"/>
      <c r="D451" s="88"/>
      <c r="E451" s="88"/>
      <c r="F451" s="88"/>
      <c r="G451" s="88"/>
      <c r="H451" s="88"/>
      <c r="I451" s="88"/>
      <c r="J451" s="88"/>
      <c r="K451" s="88"/>
      <c r="L451" s="88"/>
      <c r="M451" s="88"/>
      <c r="N451" s="88"/>
      <c r="O451" s="88"/>
    </row>
    <row r="452" spans="2:15" ht="12.75">
      <c r="B452" s="88"/>
      <c r="C452" s="88"/>
      <c r="D452" s="88"/>
      <c r="E452" s="88"/>
      <c r="F452" s="88"/>
      <c r="G452" s="88"/>
      <c r="H452" s="88"/>
      <c r="I452" s="88"/>
      <c r="J452" s="88"/>
      <c r="K452" s="88"/>
      <c r="L452" s="88"/>
      <c r="M452" s="88"/>
      <c r="N452" s="88"/>
      <c r="O452" s="88"/>
    </row>
    <row r="453" spans="2:15" ht="12.75">
      <c r="B453" s="88"/>
      <c r="C453" s="88"/>
      <c r="D453" s="88"/>
      <c r="E453" s="88"/>
      <c r="F453" s="88"/>
      <c r="G453" s="88"/>
      <c r="H453" s="88"/>
      <c r="I453" s="88"/>
      <c r="J453" s="88"/>
      <c r="K453" s="88"/>
      <c r="L453" s="88"/>
      <c r="M453" s="88"/>
      <c r="N453" s="88"/>
      <c r="O453" s="88"/>
    </row>
    <row r="454" spans="2:15" ht="12.75">
      <c r="B454" s="88"/>
      <c r="C454" s="88"/>
      <c r="D454" s="88"/>
      <c r="E454" s="88"/>
      <c r="F454" s="88"/>
      <c r="G454" s="88"/>
      <c r="H454" s="88"/>
      <c r="I454" s="88"/>
      <c r="J454" s="88"/>
      <c r="K454" s="88"/>
      <c r="L454" s="88"/>
      <c r="M454" s="88"/>
      <c r="N454" s="88"/>
      <c r="O454" s="88"/>
    </row>
    <row r="455" spans="2:15" ht="12.75">
      <c r="B455" s="88"/>
      <c r="C455" s="88"/>
      <c r="D455" s="88"/>
      <c r="E455" s="88"/>
      <c r="F455" s="88"/>
      <c r="G455" s="88"/>
      <c r="H455" s="88"/>
      <c r="I455" s="88"/>
      <c r="J455" s="88"/>
      <c r="K455" s="88"/>
      <c r="L455" s="88"/>
      <c r="M455" s="88"/>
      <c r="N455" s="88"/>
      <c r="O455" s="88"/>
    </row>
    <row r="456" spans="2:15" ht="12.75">
      <c r="B456" s="88"/>
      <c r="C456" s="88"/>
      <c r="D456" s="88"/>
      <c r="E456" s="88"/>
      <c r="F456" s="88"/>
      <c r="G456" s="88"/>
      <c r="H456" s="88"/>
      <c r="I456" s="88"/>
      <c r="J456" s="88"/>
      <c r="K456" s="88"/>
      <c r="L456" s="88"/>
      <c r="M456" s="88"/>
      <c r="N456" s="88"/>
      <c r="O456" s="88"/>
    </row>
    <row r="457" spans="2:15" ht="12.75">
      <c r="B457" s="88"/>
      <c r="C457" s="88"/>
      <c r="D457" s="88"/>
      <c r="E457" s="88"/>
      <c r="F457" s="88"/>
      <c r="G457" s="88"/>
      <c r="H457" s="88"/>
      <c r="I457" s="88"/>
      <c r="J457" s="88"/>
      <c r="K457" s="88"/>
      <c r="L457" s="88"/>
      <c r="M457" s="88"/>
      <c r="N457" s="88"/>
      <c r="O457" s="88"/>
    </row>
    <row r="458" spans="2:15" ht="12.75">
      <c r="B458" s="88"/>
      <c r="C458" s="88"/>
      <c r="D458" s="88"/>
      <c r="E458" s="88"/>
      <c r="F458" s="88"/>
      <c r="G458" s="88"/>
      <c r="H458" s="88"/>
      <c r="I458" s="88"/>
      <c r="J458" s="88"/>
      <c r="K458" s="88"/>
      <c r="L458" s="88"/>
      <c r="M458" s="88"/>
      <c r="N458" s="88"/>
      <c r="O458" s="88"/>
    </row>
    <row r="459" spans="2:15" ht="12.75">
      <c r="B459" s="88"/>
      <c r="C459" s="88"/>
      <c r="D459" s="88"/>
      <c r="E459" s="88"/>
      <c r="F459" s="88"/>
      <c r="G459" s="88"/>
      <c r="H459" s="88"/>
      <c r="I459" s="88"/>
      <c r="J459" s="88"/>
      <c r="K459" s="88"/>
      <c r="L459" s="88"/>
      <c r="M459" s="88"/>
      <c r="N459" s="88"/>
      <c r="O459" s="88"/>
    </row>
    <row r="460" spans="2:15" ht="12.75">
      <c r="B460" s="88"/>
      <c r="C460" s="88"/>
      <c r="D460" s="88"/>
      <c r="E460" s="88"/>
      <c r="F460" s="88"/>
      <c r="G460" s="88"/>
      <c r="H460" s="88"/>
      <c r="I460" s="88"/>
      <c r="J460" s="88"/>
      <c r="K460" s="88"/>
      <c r="L460" s="88"/>
      <c r="M460" s="88"/>
      <c r="N460" s="88"/>
      <c r="O460" s="88"/>
    </row>
    <row r="461" spans="2:15" ht="12.75">
      <c r="B461" s="88"/>
      <c r="C461" s="88"/>
      <c r="D461" s="88"/>
      <c r="E461" s="88"/>
      <c r="F461" s="88"/>
      <c r="G461" s="88"/>
      <c r="H461" s="88"/>
      <c r="I461" s="88"/>
      <c r="J461" s="88"/>
      <c r="K461" s="88"/>
      <c r="L461" s="88"/>
      <c r="M461" s="88"/>
      <c r="N461" s="88"/>
      <c r="O461" s="88"/>
    </row>
    <row r="462" spans="2:15" ht="12.75">
      <c r="B462" s="88"/>
      <c r="C462" s="88"/>
      <c r="D462" s="88"/>
      <c r="E462" s="88"/>
      <c r="F462" s="88"/>
      <c r="G462" s="88"/>
      <c r="H462" s="88"/>
      <c r="I462" s="88"/>
      <c r="J462" s="88"/>
      <c r="K462" s="88"/>
      <c r="L462" s="88"/>
      <c r="M462" s="88"/>
      <c r="N462" s="88"/>
      <c r="O462" s="88"/>
    </row>
    <row r="463" spans="2:15" ht="12.75">
      <c r="B463" s="88"/>
      <c r="C463" s="88"/>
      <c r="D463" s="88"/>
      <c r="E463" s="88"/>
      <c r="F463" s="88"/>
      <c r="G463" s="88"/>
      <c r="H463" s="88"/>
      <c r="I463" s="88"/>
      <c r="J463" s="88"/>
      <c r="K463" s="88"/>
      <c r="L463" s="88"/>
      <c r="M463" s="88"/>
      <c r="N463" s="88"/>
      <c r="O463" s="88"/>
    </row>
    <row r="464" spans="2:15" ht="12.75">
      <c r="B464" s="88"/>
      <c r="C464" s="88"/>
      <c r="D464" s="88"/>
      <c r="E464" s="88"/>
      <c r="F464" s="88"/>
      <c r="G464" s="88"/>
      <c r="H464" s="88"/>
      <c r="I464" s="88"/>
      <c r="J464" s="88"/>
      <c r="K464" s="88"/>
      <c r="L464" s="88"/>
      <c r="M464" s="88"/>
      <c r="N464" s="88"/>
      <c r="O464" s="88"/>
    </row>
    <row r="465" spans="2:15" ht="12.75">
      <c r="B465" s="88"/>
      <c r="C465" s="88"/>
      <c r="D465" s="88"/>
      <c r="E465" s="88"/>
      <c r="F465" s="88"/>
      <c r="G465" s="88"/>
      <c r="H465" s="88"/>
      <c r="I465" s="88"/>
      <c r="J465" s="88"/>
      <c r="K465" s="88"/>
      <c r="L465" s="88"/>
      <c r="M465" s="88"/>
      <c r="N465" s="88"/>
      <c r="O465" s="88"/>
    </row>
    <row r="466" spans="2:15" ht="12.75">
      <c r="B466" s="88"/>
      <c r="C466" s="88"/>
      <c r="D466" s="88"/>
      <c r="E466" s="88"/>
      <c r="F466" s="88"/>
      <c r="G466" s="88"/>
      <c r="H466" s="88"/>
      <c r="I466" s="88"/>
      <c r="J466" s="88"/>
      <c r="K466" s="88"/>
      <c r="L466" s="88"/>
      <c r="M466" s="88"/>
      <c r="N466" s="88"/>
      <c r="O466" s="88"/>
    </row>
    <row r="467" spans="2:15" ht="12.75">
      <c r="B467" s="88"/>
      <c r="C467" s="88"/>
      <c r="D467" s="88"/>
      <c r="E467" s="88"/>
      <c r="F467" s="88"/>
      <c r="G467" s="88"/>
      <c r="H467" s="88"/>
      <c r="I467" s="88"/>
      <c r="J467" s="88"/>
      <c r="K467" s="88"/>
      <c r="L467" s="88"/>
      <c r="M467" s="88"/>
      <c r="N467" s="88"/>
      <c r="O467" s="88"/>
    </row>
    <row r="468" spans="2:15" ht="12.75">
      <c r="B468" s="88"/>
      <c r="C468" s="88"/>
      <c r="D468" s="88"/>
      <c r="E468" s="88"/>
      <c r="F468" s="88"/>
      <c r="G468" s="88"/>
      <c r="H468" s="88"/>
      <c r="I468" s="88"/>
      <c r="J468" s="88"/>
      <c r="K468" s="88"/>
      <c r="L468" s="88"/>
      <c r="M468" s="88"/>
      <c r="N468" s="88"/>
      <c r="O468" s="88"/>
    </row>
    <row r="469" spans="2:15" ht="12.75">
      <c r="B469" s="88"/>
      <c r="C469" s="88"/>
      <c r="D469" s="88"/>
      <c r="E469" s="88"/>
      <c r="F469" s="88"/>
      <c r="G469" s="88"/>
      <c r="H469" s="88"/>
      <c r="I469" s="88"/>
      <c r="J469" s="88"/>
      <c r="K469" s="88"/>
      <c r="L469" s="88"/>
      <c r="M469" s="88"/>
      <c r="N469" s="88"/>
      <c r="O469" s="88"/>
    </row>
    <row r="470" spans="2:15" ht="12.75">
      <c r="B470" s="88"/>
      <c r="C470" s="88"/>
      <c r="D470" s="88"/>
      <c r="E470" s="88"/>
      <c r="F470" s="88"/>
      <c r="G470" s="88"/>
      <c r="H470" s="88"/>
      <c r="I470" s="88"/>
      <c r="J470" s="88"/>
      <c r="K470" s="88"/>
      <c r="L470" s="88"/>
      <c r="M470" s="88"/>
      <c r="N470" s="88"/>
      <c r="O470" s="88"/>
    </row>
    <row r="471" spans="2:15" ht="12.75">
      <c r="B471" s="88"/>
      <c r="C471" s="88"/>
      <c r="D471" s="88"/>
      <c r="E471" s="88"/>
      <c r="F471" s="88"/>
      <c r="G471" s="88"/>
      <c r="H471" s="88"/>
      <c r="I471" s="88"/>
      <c r="J471" s="88"/>
      <c r="K471" s="88"/>
      <c r="L471" s="88"/>
      <c r="M471" s="88"/>
      <c r="N471" s="88"/>
      <c r="O471" s="88"/>
    </row>
    <row r="472" spans="2:15" ht="12.75">
      <c r="B472" s="88"/>
      <c r="C472" s="88"/>
      <c r="D472" s="88"/>
      <c r="E472" s="88"/>
      <c r="F472" s="88"/>
      <c r="G472" s="88"/>
      <c r="H472" s="88"/>
      <c r="I472" s="88"/>
      <c r="J472" s="88"/>
      <c r="K472" s="88"/>
      <c r="L472" s="88"/>
      <c r="M472" s="88"/>
      <c r="N472" s="88"/>
      <c r="O472" s="88"/>
    </row>
    <row r="473" spans="2:15" ht="12.75">
      <c r="B473" s="88"/>
      <c r="C473" s="88"/>
      <c r="D473" s="88"/>
      <c r="E473" s="88"/>
      <c r="F473" s="88"/>
      <c r="G473" s="88"/>
      <c r="H473" s="88"/>
      <c r="I473" s="88"/>
      <c r="J473" s="88"/>
      <c r="K473" s="88"/>
      <c r="L473" s="88"/>
      <c r="M473" s="88"/>
      <c r="N473" s="88"/>
      <c r="O473" s="88"/>
    </row>
    <row r="474" spans="2:15" ht="12.75">
      <c r="B474" s="88"/>
      <c r="C474" s="88"/>
      <c r="D474" s="88"/>
      <c r="E474" s="88"/>
      <c r="F474" s="88"/>
      <c r="G474" s="88"/>
      <c r="H474" s="88"/>
      <c r="I474" s="88"/>
      <c r="J474" s="88"/>
      <c r="K474" s="88"/>
      <c r="L474" s="88"/>
      <c r="M474" s="88"/>
      <c r="N474" s="88"/>
      <c r="O474" s="88"/>
    </row>
    <row r="475" spans="2:15" ht="12.75">
      <c r="B475" s="88"/>
      <c r="C475" s="88"/>
      <c r="D475" s="88"/>
      <c r="E475" s="88"/>
      <c r="F475" s="88"/>
      <c r="G475" s="88"/>
      <c r="H475" s="88"/>
      <c r="I475" s="88"/>
      <c r="J475" s="88"/>
      <c r="K475" s="88"/>
      <c r="L475" s="88"/>
      <c r="M475" s="88"/>
      <c r="N475" s="88"/>
      <c r="O475" s="88"/>
    </row>
    <row r="476" spans="2:15" ht="12.75">
      <c r="B476" s="88"/>
      <c r="C476" s="88"/>
      <c r="D476" s="88"/>
      <c r="E476" s="88"/>
      <c r="F476" s="88"/>
      <c r="G476" s="88"/>
      <c r="H476" s="88"/>
      <c r="I476" s="88"/>
      <c r="J476" s="88"/>
      <c r="K476" s="88"/>
      <c r="L476" s="88"/>
      <c r="M476" s="88"/>
      <c r="N476" s="88"/>
      <c r="O476" s="88"/>
    </row>
    <row r="477" spans="2:15" ht="12.75">
      <c r="B477" s="88"/>
      <c r="C477" s="88"/>
      <c r="D477" s="88"/>
      <c r="E477" s="88"/>
      <c r="F477" s="88"/>
      <c r="G477" s="88"/>
      <c r="H477" s="88"/>
      <c r="I477" s="88"/>
      <c r="J477" s="88"/>
      <c r="K477" s="88"/>
      <c r="L477" s="88"/>
      <c r="M477" s="88"/>
      <c r="N477" s="88"/>
      <c r="O477" s="88"/>
    </row>
    <row r="478" spans="2:15" ht="12.75">
      <c r="B478" s="88"/>
      <c r="C478" s="88"/>
      <c r="D478" s="88"/>
      <c r="E478" s="88"/>
      <c r="F478" s="88"/>
      <c r="G478" s="88"/>
      <c r="H478" s="88"/>
      <c r="I478" s="88"/>
      <c r="J478" s="88"/>
      <c r="K478" s="88"/>
      <c r="L478" s="88"/>
      <c r="M478" s="88"/>
      <c r="N478" s="88"/>
      <c r="O478" s="88"/>
    </row>
    <row r="479" spans="2:15" ht="12.75">
      <c r="B479" s="88"/>
      <c r="C479" s="88"/>
      <c r="D479" s="88"/>
      <c r="E479" s="88"/>
      <c r="F479" s="88"/>
      <c r="G479" s="88"/>
      <c r="H479" s="88"/>
      <c r="I479" s="88"/>
      <c r="J479" s="88"/>
      <c r="K479" s="88"/>
      <c r="L479" s="88"/>
      <c r="M479" s="88"/>
      <c r="N479" s="88"/>
      <c r="O479" s="88"/>
    </row>
    <row r="480" spans="2:15" ht="12.75">
      <c r="B480" s="88"/>
      <c r="C480" s="88"/>
      <c r="D480" s="88"/>
      <c r="E480" s="88"/>
      <c r="F480" s="88"/>
      <c r="G480" s="88"/>
      <c r="H480" s="88"/>
      <c r="I480" s="88"/>
      <c r="J480" s="88"/>
      <c r="K480" s="88"/>
      <c r="L480" s="88"/>
      <c r="M480" s="88"/>
      <c r="N480" s="88"/>
      <c r="O480" s="88"/>
    </row>
    <row r="481" spans="2:15" ht="12.75">
      <c r="B481" s="88"/>
      <c r="C481" s="88"/>
      <c r="D481" s="88"/>
      <c r="E481" s="88"/>
      <c r="F481" s="88"/>
      <c r="G481" s="88"/>
      <c r="H481" s="88"/>
      <c r="I481" s="88"/>
      <c r="J481" s="88"/>
      <c r="K481" s="88"/>
      <c r="L481" s="88"/>
      <c r="M481" s="88"/>
      <c r="N481" s="88"/>
      <c r="O481" s="88"/>
    </row>
    <row r="482" spans="2:15" ht="12.75">
      <c r="B482" s="88"/>
      <c r="C482" s="88"/>
      <c r="D482" s="88"/>
      <c r="E482" s="88"/>
      <c r="F482" s="88"/>
      <c r="G482" s="88"/>
      <c r="H482" s="88"/>
      <c r="I482" s="88"/>
      <c r="J482" s="88"/>
      <c r="K482" s="88"/>
      <c r="L482" s="88"/>
      <c r="M482" s="88"/>
      <c r="N482" s="88"/>
      <c r="O482" s="88"/>
    </row>
    <row r="483" spans="2:15" ht="12.75">
      <c r="B483" s="88"/>
      <c r="C483" s="88"/>
      <c r="D483" s="88"/>
      <c r="E483" s="88"/>
      <c r="F483" s="88"/>
      <c r="G483" s="88"/>
      <c r="H483" s="88"/>
      <c r="I483" s="88"/>
      <c r="J483" s="88"/>
      <c r="K483" s="88"/>
      <c r="L483" s="88"/>
      <c r="M483" s="88"/>
      <c r="N483" s="88"/>
      <c r="O483" s="88"/>
    </row>
    <row r="484" spans="2:15" ht="12.75">
      <c r="B484" s="88"/>
      <c r="C484" s="88"/>
      <c r="D484" s="88"/>
      <c r="E484" s="88"/>
      <c r="F484" s="88"/>
      <c r="G484" s="88"/>
      <c r="H484" s="88"/>
      <c r="I484" s="88"/>
      <c r="J484" s="88"/>
      <c r="K484" s="88"/>
      <c r="L484" s="88"/>
      <c r="M484" s="88"/>
      <c r="N484" s="88"/>
      <c r="O484" s="88"/>
    </row>
    <row r="485" spans="2:15" ht="12.75">
      <c r="B485" s="88"/>
      <c r="C485" s="88"/>
      <c r="D485" s="88"/>
      <c r="E485" s="88"/>
      <c r="F485" s="88"/>
      <c r="G485" s="88"/>
      <c r="H485" s="88"/>
      <c r="I485" s="88"/>
      <c r="J485" s="88"/>
      <c r="K485" s="88"/>
      <c r="L485" s="88"/>
      <c r="M485" s="88"/>
      <c r="N485" s="88"/>
      <c r="O485" s="88"/>
    </row>
    <row r="486" spans="2:15" ht="12.75">
      <c r="B486" s="88"/>
      <c r="C486" s="88"/>
      <c r="D486" s="88"/>
      <c r="E486" s="88"/>
      <c r="F486" s="88"/>
      <c r="G486" s="88"/>
      <c r="H486" s="88"/>
      <c r="I486" s="88"/>
      <c r="J486" s="88"/>
      <c r="K486" s="88"/>
      <c r="L486" s="88"/>
      <c r="M486" s="88"/>
      <c r="N486" s="88"/>
      <c r="O486" s="88"/>
    </row>
    <row r="487" spans="2:15" ht="12.75">
      <c r="B487" s="88"/>
      <c r="C487" s="88"/>
      <c r="D487" s="88"/>
      <c r="E487" s="88"/>
      <c r="F487" s="88"/>
      <c r="G487" s="88"/>
      <c r="H487" s="88"/>
      <c r="I487" s="88"/>
      <c r="J487" s="88"/>
      <c r="K487" s="88"/>
      <c r="L487" s="88"/>
      <c r="M487" s="88"/>
      <c r="N487" s="88"/>
      <c r="O487" s="88"/>
    </row>
    <row r="488" spans="2:15" ht="12.75">
      <c r="B488" s="88"/>
      <c r="C488" s="88"/>
      <c r="D488" s="88"/>
      <c r="E488" s="88"/>
      <c r="F488" s="88"/>
      <c r="G488" s="88"/>
      <c r="H488" s="88"/>
      <c r="I488" s="88"/>
      <c r="J488" s="88"/>
      <c r="K488" s="88"/>
      <c r="L488" s="88"/>
      <c r="M488" s="88"/>
      <c r="N488" s="88"/>
      <c r="O488" s="88"/>
    </row>
    <row r="489" spans="2:15" ht="12.75">
      <c r="B489" s="88"/>
      <c r="C489" s="88"/>
      <c r="D489" s="88"/>
      <c r="E489" s="88"/>
      <c r="F489" s="88"/>
      <c r="G489" s="88"/>
      <c r="H489" s="88"/>
      <c r="I489" s="88"/>
      <c r="J489" s="88"/>
      <c r="K489" s="88"/>
      <c r="L489" s="88"/>
      <c r="M489" s="88"/>
      <c r="N489" s="88"/>
      <c r="O489" s="88"/>
    </row>
    <row r="490" spans="2:15" ht="12.75">
      <c r="B490" s="88"/>
      <c r="C490" s="88"/>
      <c r="D490" s="88"/>
      <c r="E490" s="88"/>
      <c r="F490" s="88"/>
      <c r="G490" s="88"/>
      <c r="H490" s="88"/>
      <c r="I490" s="88"/>
      <c r="J490" s="88"/>
      <c r="K490" s="88"/>
      <c r="L490" s="88"/>
      <c r="M490" s="88"/>
      <c r="N490" s="88"/>
      <c r="O490" s="88"/>
    </row>
    <row r="491" spans="2:15" ht="12.75">
      <c r="B491" s="88"/>
      <c r="C491" s="88"/>
      <c r="D491" s="88"/>
      <c r="E491" s="88"/>
      <c r="F491" s="88"/>
      <c r="G491" s="88"/>
      <c r="H491" s="88"/>
      <c r="I491" s="88"/>
      <c r="J491" s="88"/>
      <c r="K491" s="88"/>
      <c r="L491" s="88"/>
      <c r="M491" s="88"/>
      <c r="N491" s="88"/>
      <c r="O491" s="88"/>
    </row>
    <row r="492" spans="2:15" ht="12.75">
      <c r="B492" s="88"/>
      <c r="C492" s="88"/>
      <c r="D492" s="88"/>
      <c r="E492" s="88"/>
      <c r="F492" s="88"/>
      <c r="G492" s="88"/>
      <c r="H492" s="88"/>
      <c r="I492" s="88"/>
      <c r="J492" s="88"/>
      <c r="K492" s="88"/>
      <c r="L492" s="88"/>
      <c r="M492" s="88"/>
      <c r="N492" s="88"/>
      <c r="O492" s="88"/>
    </row>
    <row r="493" spans="2:15" ht="12.75">
      <c r="B493" s="88"/>
      <c r="C493" s="88"/>
      <c r="D493" s="88"/>
      <c r="E493" s="88"/>
      <c r="F493" s="88"/>
      <c r="G493" s="88"/>
      <c r="H493" s="88"/>
      <c r="I493" s="88"/>
      <c r="J493" s="88"/>
      <c r="K493" s="88"/>
      <c r="L493" s="88"/>
      <c r="M493" s="88"/>
      <c r="N493" s="88"/>
      <c r="O493" s="88"/>
    </row>
    <row r="494" spans="2:15" ht="12.75">
      <c r="B494" s="88"/>
      <c r="C494" s="88"/>
      <c r="D494" s="88"/>
      <c r="E494" s="88"/>
      <c r="F494" s="88"/>
      <c r="G494" s="88"/>
      <c r="H494" s="88"/>
      <c r="I494" s="88"/>
      <c r="J494" s="88"/>
      <c r="K494" s="88"/>
      <c r="L494" s="88"/>
      <c r="M494" s="88"/>
      <c r="N494" s="88"/>
      <c r="O494" s="88"/>
    </row>
    <row r="495" spans="2:15" ht="12.75">
      <c r="B495" s="88"/>
      <c r="C495" s="88"/>
      <c r="D495" s="88"/>
      <c r="E495" s="88"/>
      <c r="F495" s="88"/>
      <c r="G495" s="88"/>
      <c r="H495" s="88"/>
      <c r="I495" s="88"/>
      <c r="J495" s="88"/>
      <c r="K495" s="88"/>
      <c r="L495" s="88"/>
      <c r="M495" s="88"/>
      <c r="N495" s="88"/>
      <c r="O495" s="88"/>
    </row>
    <row r="496" spans="2:15" ht="12.75">
      <c r="B496" s="88"/>
      <c r="C496" s="88"/>
      <c r="D496" s="88"/>
      <c r="E496" s="88"/>
      <c r="F496" s="88"/>
      <c r="G496" s="88"/>
      <c r="H496" s="88"/>
      <c r="I496" s="88"/>
      <c r="J496" s="88"/>
      <c r="K496" s="88"/>
      <c r="L496" s="88"/>
      <c r="M496" s="88"/>
      <c r="N496" s="88"/>
      <c r="O496" s="88"/>
    </row>
    <row r="497" spans="2:15" ht="12.75">
      <c r="B497" s="88"/>
      <c r="C497" s="88"/>
      <c r="D497" s="88"/>
      <c r="E497" s="88"/>
      <c r="F497" s="88"/>
      <c r="G497" s="88"/>
      <c r="H497" s="88"/>
      <c r="I497" s="88"/>
      <c r="J497" s="88"/>
      <c r="K497" s="88"/>
      <c r="L497" s="88"/>
      <c r="M497" s="88"/>
      <c r="N497" s="88"/>
      <c r="O497" s="88"/>
    </row>
    <row r="498" spans="2:15" ht="12.75">
      <c r="B498" s="88"/>
      <c r="C498" s="88"/>
      <c r="D498" s="88"/>
      <c r="E498" s="88"/>
      <c r="F498" s="88"/>
      <c r="G498" s="88"/>
      <c r="H498" s="88"/>
      <c r="I498" s="88"/>
      <c r="J498" s="88"/>
      <c r="K498" s="88"/>
      <c r="L498" s="88"/>
      <c r="M498" s="88"/>
      <c r="N498" s="88"/>
      <c r="O498" s="88"/>
    </row>
    <row r="499" spans="2:15" ht="12.75">
      <c r="B499" s="88"/>
      <c r="C499" s="88"/>
      <c r="D499" s="88"/>
      <c r="E499" s="88"/>
      <c r="F499" s="88"/>
      <c r="G499" s="88"/>
      <c r="H499" s="88"/>
      <c r="I499" s="88"/>
      <c r="J499" s="88"/>
      <c r="K499" s="88"/>
      <c r="L499" s="88"/>
      <c r="M499" s="88"/>
      <c r="N499" s="88"/>
      <c r="O499" s="88"/>
    </row>
    <row r="500" spans="2:15" ht="12.75">
      <c r="B500" s="88"/>
      <c r="C500" s="88"/>
      <c r="D500" s="88"/>
      <c r="E500" s="88"/>
      <c r="F500" s="88"/>
      <c r="G500" s="88"/>
      <c r="H500" s="88"/>
      <c r="I500" s="88"/>
      <c r="J500" s="88"/>
      <c r="K500" s="88"/>
      <c r="L500" s="88"/>
      <c r="M500" s="88"/>
      <c r="N500" s="88"/>
      <c r="O500" s="88"/>
    </row>
    <row r="501" spans="2:15" ht="12.75">
      <c r="B501" s="88"/>
      <c r="C501" s="88"/>
      <c r="D501" s="88"/>
      <c r="E501" s="88"/>
      <c r="F501" s="88"/>
      <c r="G501" s="88"/>
      <c r="H501" s="88"/>
      <c r="I501" s="88"/>
      <c r="J501" s="88"/>
      <c r="K501" s="88"/>
      <c r="L501" s="88"/>
      <c r="M501" s="88"/>
      <c r="N501" s="88"/>
      <c r="O501" s="88"/>
    </row>
    <row r="502" spans="2:15" ht="12.75">
      <c r="B502" s="88"/>
      <c r="C502" s="88"/>
      <c r="D502" s="88"/>
      <c r="E502" s="88"/>
      <c r="F502" s="88"/>
      <c r="G502" s="88"/>
      <c r="H502" s="88"/>
      <c r="I502" s="88"/>
      <c r="J502" s="88"/>
      <c r="K502" s="88"/>
      <c r="L502" s="88"/>
      <c r="M502" s="88"/>
      <c r="N502" s="88"/>
      <c r="O502" s="88"/>
    </row>
    <row r="503" spans="2:15" ht="12.75">
      <c r="B503" s="88"/>
      <c r="C503" s="88"/>
      <c r="D503" s="88"/>
      <c r="E503" s="88"/>
      <c r="F503" s="88"/>
      <c r="G503" s="88"/>
      <c r="H503" s="88"/>
      <c r="I503" s="88"/>
      <c r="J503" s="88"/>
      <c r="K503" s="88"/>
      <c r="L503" s="88"/>
      <c r="M503" s="88"/>
      <c r="N503" s="88"/>
      <c r="O503" s="88"/>
    </row>
    <row r="504" spans="2:15" ht="12.75">
      <c r="B504" s="88"/>
      <c r="C504" s="88"/>
      <c r="D504" s="88"/>
      <c r="E504" s="88"/>
      <c r="F504" s="88"/>
      <c r="G504" s="88"/>
      <c r="H504" s="88"/>
      <c r="I504" s="88"/>
      <c r="J504" s="88"/>
      <c r="K504" s="88"/>
      <c r="L504" s="88"/>
      <c r="M504" s="88"/>
      <c r="N504" s="88"/>
      <c r="O504" s="88"/>
    </row>
    <row r="505" spans="2:15" ht="12.75">
      <c r="B505" s="88"/>
      <c r="C505" s="88"/>
      <c r="D505" s="88"/>
      <c r="E505" s="88"/>
      <c r="F505" s="88"/>
      <c r="G505" s="88"/>
      <c r="H505" s="88"/>
      <c r="I505" s="88"/>
      <c r="J505" s="88"/>
      <c r="K505" s="88"/>
      <c r="L505" s="88"/>
      <c r="M505" s="88"/>
      <c r="N505" s="88"/>
      <c r="O505" s="88"/>
    </row>
    <row r="506" spans="2:15" ht="12.75">
      <c r="B506" s="88"/>
      <c r="C506" s="88"/>
      <c r="D506" s="88"/>
      <c r="E506" s="88"/>
      <c r="F506" s="88"/>
      <c r="G506" s="88"/>
      <c r="H506" s="88"/>
      <c r="I506" s="88"/>
      <c r="J506" s="88"/>
      <c r="K506" s="88"/>
      <c r="L506" s="88"/>
      <c r="M506" s="88"/>
      <c r="N506" s="88"/>
      <c r="O506" s="88"/>
    </row>
  </sheetData>
  <sheetProtection/>
  <mergeCells count="23">
    <mergeCell ref="A1:N1"/>
    <mergeCell ref="A2:N2"/>
    <mergeCell ref="D5:M5"/>
    <mergeCell ref="D6:M6"/>
    <mergeCell ref="B9:B11"/>
    <mergeCell ref="B12:B23"/>
    <mergeCell ref="D17:M17"/>
    <mergeCell ref="D18:M18"/>
    <mergeCell ref="D4:M4"/>
    <mergeCell ref="D9:M9"/>
    <mergeCell ref="D10:M10"/>
    <mergeCell ref="D11:M11"/>
    <mergeCell ref="D20:M20"/>
    <mergeCell ref="D16:M16"/>
    <mergeCell ref="D12:M12"/>
    <mergeCell ref="D15:M15"/>
    <mergeCell ref="C26:M26"/>
    <mergeCell ref="D14:M14"/>
    <mergeCell ref="D19:M19"/>
    <mergeCell ref="D21:M21"/>
    <mergeCell ref="D13:M13"/>
    <mergeCell ref="D23:M23"/>
    <mergeCell ref="D22:M22"/>
  </mergeCells>
  <printOptions/>
  <pageMargins left="0.25" right="0.25" top="0.5" bottom="0.5" header="0.3" footer="0.3"/>
  <pageSetup horizontalDpi="1200" verticalDpi="1200" orientation="landscape" r:id="rId2"/>
  <headerFooter>
    <oddFooter>&amp;CPage &amp;P&amp;R&amp;F</oddFooter>
  </headerFooter>
  <rowBreaks count="1" manualBreakCount="1">
    <brk id="26" max="255" man="1"/>
  </rowBreaks>
  <drawing r:id="rId1"/>
</worksheet>
</file>

<file path=xl/worksheets/sheet10.xml><?xml version="1.0" encoding="utf-8"?>
<worksheet xmlns="http://schemas.openxmlformats.org/spreadsheetml/2006/main" xmlns:r="http://schemas.openxmlformats.org/officeDocument/2006/relationships">
  <sheetPr codeName="Sheet10"/>
  <dimension ref="A1:AL43"/>
  <sheetViews>
    <sheetView zoomScalePageLayoutView="0" workbookViewId="0" topLeftCell="A1">
      <selection activeCell="A1" sqref="A1"/>
    </sheetView>
  </sheetViews>
  <sheetFormatPr defaultColWidth="9.140625" defaultRowHeight="12.75"/>
  <cols>
    <col min="1" max="1" width="12.00390625" style="0" bestFit="1" customWidth="1"/>
    <col min="2" max="2" width="18.8515625" style="0" customWidth="1"/>
    <col min="3" max="3" width="19.8515625" style="0" customWidth="1"/>
    <col min="9" max="9" width="13.140625" style="0" customWidth="1"/>
    <col min="10" max="10" width="20.140625" style="0" customWidth="1"/>
  </cols>
  <sheetData>
    <row r="1" spans="1:38" ht="20.25">
      <c r="A1" s="269" t="s">
        <v>849</v>
      </c>
      <c r="B1" s="50"/>
      <c r="C1" s="50"/>
      <c r="D1" s="50"/>
      <c r="E1" s="50"/>
      <c r="F1" s="50"/>
      <c r="G1" s="50"/>
      <c r="H1" s="167" t="s">
        <v>664</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4" spans="1:3" ht="12.75">
      <c r="A4" s="1" t="s">
        <v>546</v>
      </c>
      <c r="B4" s="46"/>
      <c r="C4" s="46"/>
    </row>
    <row r="5" spans="1:3" ht="12.75">
      <c r="A5" s="1"/>
      <c r="B5" s="46"/>
      <c r="C5" s="46"/>
    </row>
    <row r="6" spans="1:3" ht="12.75">
      <c r="A6" s="285" t="s">
        <v>878</v>
      </c>
      <c r="B6" s="290" t="s">
        <v>100</v>
      </c>
      <c r="C6" s="290" t="s">
        <v>108</v>
      </c>
    </row>
    <row r="7" spans="1:17" ht="12.75" customHeight="1">
      <c r="A7" s="47" t="s">
        <v>548</v>
      </c>
      <c r="B7">
        <v>650000</v>
      </c>
      <c r="C7" s="47" t="s">
        <v>547</v>
      </c>
      <c r="I7" s="48" t="s">
        <v>847</v>
      </c>
      <c r="J7" s="48" t="s">
        <v>663</v>
      </c>
      <c r="O7" s="47"/>
      <c r="P7" s="47"/>
      <c r="Q7" s="47"/>
    </row>
    <row r="8" spans="1:17" ht="12.75">
      <c r="A8" s="47" t="s">
        <v>548</v>
      </c>
      <c r="B8">
        <f>B7*36.5</f>
        <v>23725000</v>
      </c>
      <c r="C8" s="47" t="s">
        <v>549</v>
      </c>
      <c r="O8" s="47"/>
      <c r="P8" s="47"/>
      <c r="Q8" s="47"/>
    </row>
    <row r="9" spans="1:17" ht="12.75">
      <c r="A9" s="47" t="s">
        <v>548</v>
      </c>
      <c r="B9">
        <f>B8*Conversions!D23</f>
        <v>76298886.01977603</v>
      </c>
      <c r="C9" s="47" t="s">
        <v>347</v>
      </c>
      <c r="O9" s="47"/>
      <c r="P9" s="47"/>
      <c r="Q9" s="47"/>
    </row>
    <row r="10" spans="1:9" ht="25.5">
      <c r="A10" s="47" t="s">
        <v>491</v>
      </c>
      <c r="B10" s="48">
        <v>94.2</v>
      </c>
      <c r="C10" s="47" t="s">
        <v>550</v>
      </c>
      <c r="F10" s="48"/>
      <c r="I10" s="48" t="s">
        <v>468</v>
      </c>
    </row>
    <row r="11" spans="1:3" ht="25.5">
      <c r="A11" s="47" t="s">
        <v>491</v>
      </c>
      <c r="B11">
        <f>B10*10^6*Conversions!D9</f>
        <v>85456802508</v>
      </c>
      <c r="C11" s="47" t="s">
        <v>551</v>
      </c>
    </row>
    <row r="12" spans="1:6" ht="12.75">
      <c r="A12" s="294" t="s">
        <v>548</v>
      </c>
      <c r="B12" s="291">
        <f>B9/B11</f>
        <v>0.0008928357226170888</v>
      </c>
      <c r="C12" s="294" t="s">
        <v>293</v>
      </c>
      <c r="F12" s="48"/>
    </row>
    <row r="13" ht="12.75">
      <c r="D13" s="48"/>
    </row>
    <row r="14" spans="4:6" ht="12.75">
      <c r="D14" s="48"/>
      <c r="F14" s="48"/>
    </row>
    <row r="15" spans="4:6" ht="12.75">
      <c r="D15" s="48"/>
      <c r="F15" s="48"/>
    </row>
    <row r="16" spans="5:7" ht="12.75">
      <c r="E16" s="1"/>
      <c r="G16" s="1"/>
    </row>
    <row r="17" spans="1:5" ht="12.75">
      <c r="A17" s="1" t="s">
        <v>554</v>
      </c>
      <c r="B17" s="46"/>
      <c r="C17" s="46"/>
      <c r="E17" s="46"/>
    </row>
    <row r="18" spans="1:9" ht="24.75" customHeight="1">
      <c r="A18" s="395" t="s">
        <v>553</v>
      </c>
      <c r="B18" s="395"/>
      <c r="C18" s="395"/>
      <c r="D18" s="395"/>
      <c r="E18" s="395"/>
      <c r="F18" s="395"/>
      <c r="I18" s="87" t="s">
        <v>848</v>
      </c>
    </row>
    <row r="19" spans="2:6" ht="12.75">
      <c r="B19">
        <v>10.1</v>
      </c>
      <c r="C19" s="47" t="s">
        <v>555</v>
      </c>
      <c r="E19" s="47"/>
      <c r="F19" s="48"/>
    </row>
    <row r="20" spans="2:5" ht="12.75">
      <c r="B20">
        <f>B8/B9</f>
        <v>0.3109481833568406</v>
      </c>
      <c r="C20" s="47" t="s">
        <v>556</v>
      </c>
      <c r="D20" s="48"/>
      <c r="E20" s="47"/>
    </row>
    <row r="21" spans="2:5" ht="12.75">
      <c r="B21" s="291">
        <f>B19/Conversions!D28</f>
        <v>3.146417445482866</v>
      </c>
      <c r="C21" s="299" t="s">
        <v>557</v>
      </c>
      <c r="D21" s="48"/>
      <c r="E21" s="47"/>
    </row>
    <row r="22" ht="12.75">
      <c r="I22" s="48" t="s">
        <v>847</v>
      </c>
    </row>
    <row r="23" spans="10:15" ht="12.75" customHeight="1">
      <c r="J23" s="416" t="s">
        <v>558</v>
      </c>
      <c r="K23" s="416"/>
      <c r="L23" s="416"/>
      <c r="M23" s="416"/>
      <c r="N23" s="416"/>
      <c r="O23" s="416"/>
    </row>
    <row r="24" spans="10:15" ht="12.75">
      <c r="J24" s="416"/>
      <c r="K24" s="416"/>
      <c r="L24" s="416"/>
      <c r="M24" s="416"/>
      <c r="N24" s="416"/>
      <c r="O24" s="416"/>
    </row>
    <row r="25" ht="12.75" customHeight="1">
      <c r="E25" s="47"/>
    </row>
    <row r="26" spans="2:15" ht="12.75">
      <c r="B26" s="47"/>
      <c r="C26" s="47"/>
      <c r="D26" s="48"/>
      <c r="E26" s="47"/>
      <c r="J26" s="416" t="s">
        <v>559</v>
      </c>
      <c r="K26" s="416"/>
      <c r="L26" s="416"/>
      <c r="M26" s="416"/>
      <c r="N26" s="416"/>
      <c r="O26" s="416"/>
    </row>
    <row r="27" spans="1:15" ht="12.75" customHeight="1">
      <c r="A27" s="48"/>
      <c r="B27" s="47"/>
      <c r="C27" s="47"/>
      <c r="D27" s="48"/>
      <c r="E27" s="47"/>
      <c r="J27" s="416"/>
      <c r="K27" s="416"/>
      <c r="L27" s="416"/>
      <c r="M27" s="416"/>
      <c r="N27" s="416"/>
      <c r="O27" s="416"/>
    </row>
    <row r="28" spans="10:15" ht="12.75">
      <c r="J28" s="416"/>
      <c r="K28" s="416"/>
      <c r="L28" s="416"/>
      <c r="M28" s="416"/>
      <c r="N28" s="416"/>
      <c r="O28" s="416"/>
    </row>
    <row r="29" spans="10:15" ht="12.75">
      <c r="J29" s="416"/>
      <c r="K29" s="416"/>
      <c r="L29" s="416"/>
      <c r="M29" s="416"/>
      <c r="N29" s="416"/>
      <c r="O29" s="416"/>
    </row>
    <row r="30" spans="10:15" ht="12.75">
      <c r="J30" s="416"/>
      <c r="K30" s="416"/>
      <c r="L30" s="416"/>
      <c r="M30" s="416"/>
      <c r="N30" s="416"/>
      <c r="O30" s="416"/>
    </row>
    <row r="32" spans="10:15" ht="12.75">
      <c r="J32" s="416" t="s">
        <v>560</v>
      </c>
      <c r="K32" s="416"/>
      <c r="L32" s="416"/>
      <c r="M32" s="416"/>
      <c r="N32" s="416"/>
      <c r="O32" s="416"/>
    </row>
    <row r="33" spans="10:15" ht="12.75">
      <c r="J33" s="416"/>
      <c r="K33" s="416"/>
      <c r="L33" s="416"/>
      <c r="M33" s="416"/>
      <c r="N33" s="416"/>
      <c r="O33" s="416"/>
    </row>
    <row r="34" spans="10:15" ht="12.75">
      <c r="J34" s="416"/>
      <c r="K34" s="416"/>
      <c r="L34" s="416"/>
      <c r="M34" s="416"/>
      <c r="N34" s="416"/>
      <c r="O34" s="416"/>
    </row>
    <row r="35" spans="10:15" ht="12.75">
      <c r="J35" s="416"/>
      <c r="K35" s="416"/>
      <c r="L35" s="416"/>
      <c r="M35" s="416"/>
      <c r="N35" s="416"/>
      <c r="O35" s="416"/>
    </row>
    <row r="36" spans="10:15" ht="12.75">
      <c r="J36" s="416"/>
      <c r="K36" s="416"/>
      <c r="L36" s="416"/>
      <c r="M36" s="416"/>
      <c r="N36" s="416"/>
      <c r="O36" s="416"/>
    </row>
    <row r="37" spans="10:15" ht="12.75">
      <c r="J37" s="416"/>
      <c r="K37" s="416"/>
      <c r="L37" s="416"/>
      <c r="M37" s="416"/>
      <c r="N37" s="416"/>
      <c r="O37" s="416"/>
    </row>
    <row r="38" spans="10:15" ht="12.75">
      <c r="J38" s="416"/>
      <c r="K38" s="416"/>
      <c r="L38" s="416"/>
      <c r="M38" s="416"/>
      <c r="N38" s="416"/>
      <c r="O38" s="416"/>
    </row>
    <row r="39" spans="10:15" ht="12.75">
      <c r="J39" s="416"/>
      <c r="K39" s="416"/>
      <c r="L39" s="416"/>
      <c r="M39" s="416"/>
      <c r="N39" s="416"/>
      <c r="O39" s="416"/>
    </row>
    <row r="41" spans="10:14" ht="12.75">
      <c r="J41" s="395" t="s">
        <v>552</v>
      </c>
      <c r="K41" s="395"/>
      <c r="L41" s="395"/>
      <c r="M41" s="395"/>
      <c r="N41" s="395"/>
    </row>
    <row r="42" spans="10:14" ht="12.75">
      <c r="J42" s="395"/>
      <c r="K42" s="395"/>
      <c r="L42" s="395"/>
      <c r="M42" s="395"/>
      <c r="N42" s="395"/>
    </row>
    <row r="43" spans="10:14" ht="12.75">
      <c r="J43" s="395"/>
      <c r="K43" s="395"/>
      <c r="L43" s="395"/>
      <c r="M43" s="395"/>
      <c r="N43" s="395"/>
    </row>
  </sheetData>
  <sheetProtection/>
  <mergeCells count="5">
    <mergeCell ref="J23:O24"/>
    <mergeCell ref="J32:O39"/>
    <mergeCell ref="J26:O30"/>
    <mergeCell ref="A18:F18"/>
    <mergeCell ref="J41:N43"/>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A1:AJ22"/>
  <sheetViews>
    <sheetView zoomScalePageLayoutView="0" workbookViewId="0" topLeftCell="A1">
      <selection activeCell="A1" sqref="A1"/>
    </sheetView>
  </sheetViews>
  <sheetFormatPr defaultColWidth="9.140625" defaultRowHeight="12.75"/>
  <cols>
    <col min="1" max="1" width="12.421875" style="0" bestFit="1" customWidth="1"/>
  </cols>
  <sheetData>
    <row r="1" spans="1:36" ht="20.25">
      <c r="A1" s="269" t="s">
        <v>849</v>
      </c>
      <c r="B1" s="50"/>
      <c r="C1" s="50"/>
      <c r="D1" s="50"/>
      <c r="E1" s="50"/>
      <c r="F1" s="50"/>
      <c r="G1" s="50"/>
      <c r="H1" s="167" t="s">
        <v>671</v>
      </c>
      <c r="M1" s="50"/>
      <c r="N1" s="50"/>
      <c r="O1" s="50"/>
      <c r="P1" s="50"/>
      <c r="Q1" s="50"/>
      <c r="R1" s="50"/>
      <c r="S1" s="50"/>
      <c r="T1" s="50"/>
      <c r="U1" s="50"/>
      <c r="V1" s="50"/>
      <c r="W1" s="50"/>
      <c r="X1" s="50"/>
      <c r="Y1" s="50"/>
      <c r="Z1" s="50"/>
      <c r="AA1" s="50"/>
      <c r="AB1" s="50"/>
      <c r="AC1" s="50"/>
      <c r="AD1" s="50"/>
      <c r="AE1" s="50"/>
      <c r="AF1" s="50"/>
      <c r="AG1" s="50"/>
      <c r="AH1" s="50"/>
      <c r="AI1" s="50"/>
      <c r="AJ1" s="50"/>
    </row>
    <row r="2" spans="1:9" ht="18">
      <c r="A2" s="76" t="s">
        <v>202</v>
      </c>
      <c r="I2" s="76" t="s">
        <v>74</v>
      </c>
    </row>
    <row r="4" ht="12.75">
      <c r="A4" s="48" t="s">
        <v>637</v>
      </c>
    </row>
    <row r="6" ht="12.75">
      <c r="M6" s="48" t="s">
        <v>855</v>
      </c>
    </row>
    <row r="7" spans="1:5" ht="12.75">
      <c r="A7" s="285" t="s">
        <v>100</v>
      </c>
      <c r="B7" s="285" t="s">
        <v>108</v>
      </c>
      <c r="C7" s="285"/>
      <c r="D7" s="285"/>
      <c r="E7" s="285" t="s">
        <v>360</v>
      </c>
    </row>
    <row r="8" spans="1:10" ht="12.75">
      <c r="A8" s="170">
        <f>AVERAGE(300000,400000)</f>
        <v>350000</v>
      </c>
      <c r="B8" s="48" t="s">
        <v>638</v>
      </c>
      <c r="E8" s="48"/>
      <c r="I8" s="48" t="s">
        <v>850</v>
      </c>
      <c r="J8" s="48"/>
    </row>
    <row r="9" spans="1:10" ht="12.75">
      <c r="A9" s="170">
        <f>A8*Conversions!D9</f>
        <v>317514659</v>
      </c>
      <c r="B9" s="48" t="s">
        <v>639</v>
      </c>
      <c r="E9" s="48"/>
      <c r="J9" s="48"/>
    </row>
    <row r="10" spans="1:13" ht="12.75">
      <c r="A10" s="170">
        <f>A9</f>
        <v>317514659</v>
      </c>
      <c r="B10" s="48" t="s">
        <v>640</v>
      </c>
      <c r="E10" s="48"/>
      <c r="I10" s="48" t="s">
        <v>851</v>
      </c>
      <c r="J10" s="48"/>
      <c r="M10" s="48" t="s">
        <v>856</v>
      </c>
    </row>
    <row r="11" spans="1:10" ht="12.75">
      <c r="A11" s="170">
        <v>225</v>
      </c>
      <c r="B11" s="48" t="s">
        <v>641</v>
      </c>
      <c r="E11" s="48" t="s">
        <v>642</v>
      </c>
      <c r="I11" s="48" t="s">
        <v>852</v>
      </c>
      <c r="J11" s="48"/>
    </row>
    <row r="12" spans="1:10" ht="12.75">
      <c r="A12" s="170">
        <f>A11*10^6*Conversions!D9</f>
        <v>204116566500</v>
      </c>
      <c r="B12" s="48" t="s">
        <v>643</v>
      </c>
      <c r="J12" s="48"/>
    </row>
    <row r="13" spans="1:10" ht="12.75">
      <c r="A13" s="300">
        <f>A10/A12</f>
        <v>0.0015555555555555555</v>
      </c>
      <c r="B13" s="301" t="s">
        <v>644</v>
      </c>
      <c r="J13" s="48"/>
    </row>
    <row r="14" spans="1:13" ht="12.75">
      <c r="A14" s="302">
        <f>AVERAGE(93,94)/100</f>
        <v>0.935</v>
      </c>
      <c r="B14" s="271" t="s">
        <v>645</v>
      </c>
      <c r="I14" s="48" t="s">
        <v>853</v>
      </c>
      <c r="J14" s="48"/>
      <c r="M14" s="48" t="s">
        <v>854</v>
      </c>
    </row>
    <row r="15" spans="1:10" ht="12.75">
      <c r="A15" s="302">
        <f>AVERAGE(6,7)/100</f>
        <v>0.065</v>
      </c>
      <c r="B15" s="271" t="s">
        <v>646</v>
      </c>
      <c r="I15" s="48" t="s">
        <v>853</v>
      </c>
      <c r="J15" s="48"/>
    </row>
    <row r="16" spans="1:10" ht="12.75">
      <c r="A16" s="298">
        <f>A14*A13</f>
        <v>0.0014544444444444444</v>
      </c>
      <c r="B16" s="301" t="s">
        <v>647</v>
      </c>
      <c r="J16" s="48"/>
    </row>
    <row r="17" spans="1:10" ht="12.75">
      <c r="A17" s="298">
        <f>A15*A13</f>
        <v>0.0001011111111111111</v>
      </c>
      <c r="B17" s="301" t="s">
        <v>648</v>
      </c>
      <c r="I17" s="48" t="s">
        <v>495</v>
      </c>
      <c r="J17" s="48"/>
    </row>
    <row r="18" ht="12.75">
      <c r="B18" s="170"/>
    </row>
    <row r="19" ht="12.75">
      <c r="B19" s="170"/>
    </row>
    <row r="20" ht="12.75">
      <c r="B20" s="170"/>
    </row>
    <row r="21" ht="12.75">
      <c r="B21" s="170"/>
    </row>
    <row r="22" ht="12.75">
      <c r="B22" s="170"/>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AL20"/>
  <sheetViews>
    <sheetView zoomScalePageLayoutView="0" workbookViewId="0" topLeftCell="A1">
      <selection activeCell="A1" sqref="A1"/>
    </sheetView>
  </sheetViews>
  <sheetFormatPr defaultColWidth="9.140625" defaultRowHeight="12.75"/>
  <cols>
    <col min="9" max="9" width="12.7109375" style="0" customWidth="1"/>
  </cols>
  <sheetData>
    <row r="1" spans="1:38" ht="20.25">
      <c r="A1" s="50"/>
      <c r="B1" s="50"/>
      <c r="C1" s="50"/>
      <c r="D1" s="50"/>
      <c r="E1" s="50"/>
      <c r="F1" s="50"/>
      <c r="G1" s="50"/>
      <c r="H1" s="167" t="s">
        <v>677</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10" ht="18">
      <c r="A2" s="76" t="s">
        <v>202</v>
      </c>
      <c r="I2" s="233"/>
      <c r="J2" s="76" t="s">
        <v>74</v>
      </c>
    </row>
    <row r="5" spans="1:9" ht="12.75">
      <c r="A5" s="285" t="s">
        <v>100</v>
      </c>
      <c r="B5" s="285" t="s">
        <v>108</v>
      </c>
      <c r="C5" s="285" t="s">
        <v>360</v>
      </c>
      <c r="D5" s="285"/>
      <c r="E5" s="285"/>
      <c r="F5" s="285"/>
      <c r="G5" s="285"/>
      <c r="H5" s="285"/>
      <c r="I5" s="285" t="s">
        <v>204</v>
      </c>
    </row>
    <row r="6" spans="1:10" ht="12.75">
      <c r="A6" s="170">
        <v>24.9</v>
      </c>
      <c r="B6" s="48" t="s">
        <v>672</v>
      </c>
      <c r="I6" s="271" t="s">
        <v>915</v>
      </c>
      <c r="J6" s="87"/>
    </row>
    <row r="7" spans="1:11" ht="15">
      <c r="A7" s="170">
        <f>A6*0.8</f>
        <v>19.92</v>
      </c>
      <c r="B7" s="48" t="s">
        <v>672</v>
      </c>
      <c r="C7" s="48" t="s">
        <v>673</v>
      </c>
      <c r="H7" s="244"/>
      <c r="I7" s="286" t="s">
        <v>887</v>
      </c>
      <c r="J7" s="48"/>
      <c r="K7" s="48"/>
    </row>
    <row r="8" spans="1:11" ht="12.75">
      <c r="A8" s="170">
        <f>A6-A7</f>
        <v>4.979999999999997</v>
      </c>
      <c r="B8" s="48" t="s">
        <v>672</v>
      </c>
      <c r="C8" s="48" t="s">
        <v>674</v>
      </c>
      <c r="J8" s="48"/>
      <c r="K8" s="87"/>
    </row>
    <row r="9" spans="1:11" ht="12.75">
      <c r="A9" s="170">
        <f>A8</f>
        <v>4.979999999999997</v>
      </c>
      <c r="B9" s="48" t="s">
        <v>672</v>
      </c>
      <c r="C9" s="48" t="s">
        <v>675</v>
      </c>
      <c r="J9" s="48"/>
      <c r="K9" s="87"/>
    </row>
    <row r="10" spans="1:10" ht="12.75">
      <c r="A10" s="170">
        <f>A9*Conversions!D5/Conversions!D10</f>
        <v>0.09591246959082723</v>
      </c>
      <c r="B10" s="48" t="s">
        <v>676</v>
      </c>
      <c r="C10" s="48" t="s">
        <v>675</v>
      </c>
      <c r="J10" s="48"/>
    </row>
    <row r="11" spans="1:10" ht="12.75">
      <c r="A11" s="245">
        <f>A10/Conversions!D9</f>
        <v>0.00010572540008866026</v>
      </c>
      <c r="B11" s="48" t="s">
        <v>293</v>
      </c>
      <c r="C11" s="48" t="s">
        <v>675</v>
      </c>
      <c r="J11" s="48"/>
    </row>
    <row r="12" spans="1:10" ht="12.75">
      <c r="A12" s="170"/>
      <c r="J12" s="48"/>
    </row>
    <row r="13" ht="12.75">
      <c r="J13" s="48"/>
    </row>
    <row r="14" ht="12.75">
      <c r="J14" s="48"/>
    </row>
    <row r="18" ht="12.75">
      <c r="B18" s="170"/>
    </row>
    <row r="19" ht="12.75">
      <c r="B19" s="170"/>
    </row>
    <row r="20" ht="12.75">
      <c r="B20" s="170"/>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AL20"/>
  <sheetViews>
    <sheetView zoomScalePageLayoutView="0" workbookViewId="0" topLeftCell="A1">
      <selection activeCell="A1" sqref="A1"/>
    </sheetView>
  </sheetViews>
  <sheetFormatPr defaultColWidth="9.140625" defaultRowHeight="12.75"/>
  <cols>
    <col min="1" max="1" width="26.421875" style="0" customWidth="1"/>
    <col min="2" max="3" width="14.28125" style="0" bestFit="1" customWidth="1"/>
    <col min="9" max="9" width="13.140625" style="0" customWidth="1"/>
  </cols>
  <sheetData>
    <row r="1" spans="1:38" ht="20.25">
      <c r="A1" s="269" t="s">
        <v>849</v>
      </c>
      <c r="B1" s="50"/>
      <c r="C1" s="50"/>
      <c r="D1" s="50"/>
      <c r="E1" s="50"/>
      <c r="F1" s="50"/>
      <c r="G1" s="50"/>
      <c r="H1" s="167" t="s">
        <v>685</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H2" s="233"/>
      <c r="I2" s="76" t="s">
        <v>74</v>
      </c>
    </row>
    <row r="4" ht="12.75">
      <c r="A4" s="1" t="s">
        <v>678</v>
      </c>
    </row>
    <row r="5" spans="1:3" ht="12.75">
      <c r="A5" s="285" t="s">
        <v>878</v>
      </c>
      <c r="B5" s="285" t="s">
        <v>100</v>
      </c>
      <c r="C5" s="285" t="s">
        <v>108</v>
      </c>
    </row>
    <row r="6" spans="1:10" ht="12.75">
      <c r="A6" s="48" t="s">
        <v>679</v>
      </c>
      <c r="B6" s="170">
        <v>363</v>
      </c>
      <c r="C6" s="48" t="s">
        <v>467</v>
      </c>
      <c r="I6" s="48" t="s">
        <v>857</v>
      </c>
      <c r="J6" s="48"/>
    </row>
    <row r="7" spans="1:3" ht="12.75">
      <c r="A7" s="48" t="s">
        <v>679</v>
      </c>
      <c r="B7" s="170">
        <f>B6*10^6*Conversions!D9</f>
        <v>329308060620</v>
      </c>
      <c r="C7" s="48" t="s">
        <v>347</v>
      </c>
    </row>
    <row r="8" spans="1:9" ht="12.75">
      <c r="A8" s="48" t="s">
        <v>681</v>
      </c>
      <c r="B8" s="170">
        <v>2640</v>
      </c>
      <c r="C8" s="48" t="s">
        <v>680</v>
      </c>
      <c r="I8" s="48" t="s">
        <v>203</v>
      </c>
    </row>
    <row r="9" spans="1:3" ht="12.75">
      <c r="A9" s="48" t="s">
        <v>681</v>
      </c>
      <c r="B9" s="170">
        <f>B8*10^6</f>
        <v>2640000000</v>
      </c>
      <c r="C9" s="48" t="s">
        <v>549</v>
      </c>
    </row>
    <row r="10" spans="1:3" ht="12.75">
      <c r="A10" s="48" t="s">
        <v>681</v>
      </c>
      <c r="B10" s="170">
        <f>B9*Conversions!D4*Conversions!D25</f>
        <v>9993487099.2</v>
      </c>
      <c r="C10" s="48" t="s">
        <v>347</v>
      </c>
    </row>
    <row r="11" spans="1:3" ht="12.75">
      <c r="A11" s="301" t="s">
        <v>682</v>
      </c>
      <c r="B11" s="298">
        <f>B10/B7</f>
        <v>0.030346925248003063</v>
      </c>
      <c r="C11" s="301" t="s">
        <v>375</v>
      </c>
    </row>
    <row r="12" spans="1:9" ht="12.75">
      <c r="A12" s="271" t="s">
        <v>683</v>
      </c>
      <c r="B12" s="272">
        <v>4254</v>
      </c>
      <c r="C12" s="271" t="s">
        <v>680</v>
      </c>
      <c r="I12" s="48" t="s">
        <v>203</v>
      </c>
    </row>
    <row r="13" spans="1:3" ht="12.75">
      <c r="A13" s="271" t="s">
        <v>683</v>
      </c>
      <c r="B13" s="272">
        <f>B12*10^6</f>
        <v>4254000000</v>
      </c>
      <c r="C13" s="271" t="s">
        <v>549</v>
      </c>
    </row>
    <row r="14" spans="1:3" ht="12.75">
      <c r="A14" s="271" t="s">
        <v>683</v>
      </c>
      <c r="B14" s="272">
        <f>B13*Conversions!D4*Conversions!D25</f>
        <v>16103141712.12</v>
      </c>
      <c r="C14" s="271" t="s">
        <v>347</v>
      </c>
    </row>
    <row r="15" spans="1:3" ht="12.75">
      <c r="A15" s="301" t="s">
        <v>684</v>
      </c>
      <c r="B15" s="298">
        <f>B14/B7</f>
        <v>0.04889993182007766</v>
      </c>
      <c r="C15" s="301" t="s">
        <v>375</v>
      </c>
    </row>
    <row r="20" ht="12.75">
      <c r="B20" s="170"/>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AL47"/>
  <sheetViews>
    <sheetView zoomScalePageLayoutView="0" workbookViewId="0" topLeftCell="A1">
      <selection activeCell="A1" sqref="A1"/>
    </sheetView>
  </sheetViews>
  <sheetFormatPr defaultColWidth="9.140625" defaultRowHeight="12.75"/>
  <cols>
    <col min="2" max="2" width="9.140625" style="142" customWidth="1"/>
    <col min="3" max="3" width="24.7109375" style="0" bestFit="1" customWidth="1"/>
    <col min="4" max="4" width="9.140625" style="142" customWidth="1"/>
    <col min="6" max="6" width="9.140625" style="0" customWidth="1"/>
    <col min="9" max="9" width="11.140625" style="0" bestFit="1" customWidth="1"/>
    <col min="14" max="14" width="15.7109375" style="0" customWidth="1"/>
    <col min="15" max="15" width="12.00390625" style="0" customWidth="1"/>
    <col min="16" max="16" width="11.8515625" style="0" customWidth="1"/>
  </cols>
  <sheetData>
    <row r="1" spans="1:38" ht="20.25">
      <c r="A1" s="50"/>
      <c r="B1" s="141"/>
      <c r="C1" s="50"/>
      <c r="D1" s="141"/>
      <c r="E1" s="50"/>
      <c r="F1" s="50"/>
      <c r="G1" s="50"/>
      <c r="H1" s="78" t="s">
        <v>215</v>
      </c>
      <c r="N1" s="50"/>
      <c r="O1" s="50"/>
      <c r="P1" s="50"/>
      <c r="Q1" s="50"/>
      <c r="R1" s="50"/>
      <c r="S1" s="50"/>
      <c r="T1" s="50"/>
      <c r="U1" s="50"/>
      <c r="V1" s="50"/>
      <c r="W1" s="50"/>
      <c r="X1" s="50"/>
      <c r="Y1" s="50"/>
      <c r="Z1" s="50"/>
      <c r="AA1" s="50"/>
      <c r="AB1" s="50"/>
      <c r="AC1" s="50"/>
      <c r="AD1" s="50"/>
      <c r="AE1" s="50"/>
      <c r="AF1" s="50"/>
      <c r="AG1" s="50"/>
      <c r="AH1" s="50"/>
      <c r="AI1" s="50"/>
      <c r="AJ1" s="50"/>
      <c r="AK1" s="50"/>
      <c r="AL1" s="50"/>
    </row>
    <row r="3" spans="2:10" ht="12.75">
      <c r="B3" s="417" t="s">
        <v>209</v>
      </c>
      <c r="C3" s="417"/>
      <c r="D3" s="417"/>
      <c r="E3" s="417"/>
      <c r="I3" s="57" t="s">
        <v>74</v>
      </c>
      <c r="J3" s="57" t="s">
        <v>360</v>
      </c>
    </row>
    <row r="4" spans="2:9" ht="12.75">
      <c r="B4">
        <v>1</v>
      </c>
      <c r="C4" s="48" t="s">
        <v>276</v>
      </c>
      <c r="D4">
        <f>3.78541178</f>
        <v>3.78541178</v>
      </c>
      <c r="E4" s="48" t="s">
        <v>172</v>
      </c>
      <c r="H4" s="79"/>
      <c r="I4" s="124"/>
    </row>
    <row r="5" spans="2:10" ht="12.75">
      <c r="B5">
        <v>1</v>
      </c>
      <c r="C5" s="48" t="s">
        <v>348</v>
      </c>
      <c r="D5">
        <f>0.04246</f>
        <v>0.04246</v>
      </c>
      <c r="E5" s="48" t="s">
        <v>349</v>
      </c>
      <c r="I5" s="140"/>
      <c r="J5" s="48" t="s">
        <v>406</v>
      </c>
    </row>
    <row r="6" spans="2:9" ht="12.75">
      <c r="B6">
        <v>1</v>
      </c>
      <c r="C6" t="s">
        <v>350</v>
      </c>
      <c r="D6">
        <v>1000</v>
      </c>
      <c r="E6" t="s">
        <v>172</v>
      </c>
      <c r="I6" s="140"/>
    </row>
    <row r="7" spans="2:9" ht="12.75">
      <c r="B7">
        <v>1</v>
      </c>
      <c r="C7" t="s">
        <v>276</v>
      </c>
      <c r="D7">
        <f>3.78541178/1000</f>
        <v>0.00378541178</v>
      </c>
      <c r="E7" t="s">
        <v>350</v>
      </c>
      <c r="I7" s="140"/>
    </row>
    <row r="8" spans="2:9" ht="12.75">
      <c r="B8">
        <v>1</v>
      </c>
      <c r="C8" t="s">
        <v>351</v>
      </c>
      <c r="D8">
        <v>42</v>
      </c>
      <c r="E8" t="s">
        <v>276</v>
      </c>
      <c r="I8" s="124"/>
    </row>
    <row r="9" spans="2:9" ht="12.75">
      <c r="B9">
        <v>1</v>
      </c>
      <c r="C9" t="s">
        <v>352</v>
      </c>
      <c r="D9">
        <f>907.18474</f>
        <v>907.18474</v>
      </c>
      <c r="E9" t="s">
        <v>169</v>
      </c>
      <c r="I9" s="124"/>
    </row>
    <row r="10" spans="2:9" ht="12.75">
      <c r="B10">
        <v>1</v>
      </c>
      <c r="C10" t="s">
        <v>169</v>
      </c>
      <c r="D10">
        <f>2.20462262</f>
        <v>2.20462262</v>
      </c>
      <c r="E10" t="s">
        <v>349</v>
      </c>
      <c r="I10" s="124"/>
    </row>
    <row r="11" spans="2:9" ht="12.75">
      <c r="B11">
        <v>1</v>
      </c>
      <c r="C11" t="s">
        <v>353</v>
      </c>
      <c r="D11">
        <v>13126</v>
      </c>
      <c r="E11" t="s">
        <v>354</v>
      </c>
      <c r="I11" s="124"/>
    </row>
    <row r="12" spans="2:9" ht="12.75">
      <c r="B12">
        <v>1</v>
      </c>
      <c r="C12" t="s">
        <v>355</v>
      </c>
      <c r="D12">
        <f>10^6</f>
        <v>1000000</v>
      </c>
      <c r="E12" t="s">
        <v>354</v>
      </c>
      <c r="I12" s="124"/>
    </row>
    <row r="13" spans="2:9" ht="12.75">
      <c r="B13">
        <v>1</v>
      </c>
      <c r="C13" s="48" t="s">
        <v>356</v>
      </c>
      <c r="D13">
        <v>45</v>
      </c>
      <c r="E13" s="48" t="s">
        <v>349</v>
      </c>
      <c r="I13" s="271" t="s">
        <v>888</v>
      </c>
    </row>
    <row r="14" spans="2:5" ht="12.75">
      <c r="B14">
        <v>1</v>
      </c>
      <c r="C14" s="48" t="s">
        <v>357</v>
      </c>
      <c r="D14" s="58">
        <v>27</v>
      </c>
      <c r="E14" s="48" t="s">
        <v>358</v>
      </c>
    </row>
    <row r="15" spans="2:5" ht="12.75">
      <c r="B15">
        <v>1</v>
      </c>
      <c r="C15" s="48" t="s">
        <v>359</v>
      </c>
      <c r="D15">
        <f>D13*D14/D10</f>
        <v>551.1147300121596</v>
      </c>
      <c r="E15" s="48" t="s">
        <v>169</v>
      </c>
    </row>
    <row r="16" spans="2:5" ht="12.75">
      <c r="B16">
        <v>1</v>
      </c>
      <c r="C16" s="48" t="s">
        <v>407</v>
      </c>
      <c r="D16">
        <v>43560</v>
      </c>
      <c r="E16" s="48" t="s">
        <v>408</v>
      </c>
    </row>
    <row r="17" spans="2:14" ht="13.5" thickBot="1">
      <c r="B17"/>
      <c r="C17" s="48" t="s">
        <v>409</v>
      </c>
      <c r="D17" s="58">
        <f>P39</f>
        <v>8252</v>
      </c>
      <c r="E17" s="48" t="s">
        <v>410</v>
      </c>
      <c r="I17" s="48" t="s">
        <v>814</v>
      </c>
      <c r="N17" s="1" t="s">
        <v>440</v>
      </c>
    </row>
    <row r="18" spans="2:16" ht="40.5" thickBot="1" thickTop="1">
      <c r="B18">
        <v>1</v>
      </c>
      <c r="C18" s="48" t="s">
        <v>411</v>
      </c>
      <c r="D18">
        <f>D17/10^6</f>
        <v>0.008252</v>
      </c>
      <c r="E18" s="48" t="s">
        <v>412</v>
      </c>
      <c r="N18" s="214" t="s">
        <v>441</v>
      </c>
      <c r="O18" s="215" t="s">
        <v>442</v>
      </c>
      <c r="P18" s="216" t="s">
        <v>443</v>
      </c>
    </row>
    <row r="19" spans="2:16" ht="14.25" thickBot="1" thickTop="1">
      <c r="B19">
        <v>1</v>
      </c>
      <c r="C19" s="48" t="s">
        <v>413</v>
      </c>
      <c r="D19">
        <f>D18*D10</f>
        <v>0.01819254586024</v>
      </c>
      <c r="E19" s="48" t="s">
        <v>412</v>
      </c>
      <c r="N19" s="217" t="s">
        <v>444</v>
      </c>
      <c r="O19" s="218">
        <v>0</v>
      </c>
      <c r="P19" s="219">
        <v>25.77</v>
      </c>
    </row>
    <row r="20" spans="2:16" ht="13.5" thickBot="1">
      <c r="B20">
        <v>1</v>
      </c>
      <c r="C20" s="48" t="s">
        <v>414</v>
      </c>
      <c r="D20" s="213">
        <v>18397.106251973477</v>
      </c>
      <c r="E20" s="48" t="s">
        <v>354</v>
      </c>
      <c r="N20" s="217" t="s">
        <v>445</v>
      </c>
      <c r="O20" s="218">
        <v>11.04</v>
      </c>
      <c r="P20" s="219">
        <v>8.19</v>
      </c>
    </row>
    <row r="21" spans="2:16" ht="13.5" thickBot="1">
      <c r="B21">
        <v>1</v>
      </c>
      <c r="C21" s="48" t="s">
        <v>415</v>
      </c>
      <c r="D21">
        <f>D20*D10/10^6</f>
        <v>0.04055867658564414</v>
      </c>
      <c r="E21" s="48" t="s">
        <v>412</v>
      </c>
      <c r="N21" s="217" t="s">
        <v>446</v>
      </c>
      <c r="O21" s="218">
        <v>40.87</v>
      </c>
      <c r="P21" s="219">
        <v>30.34</v>
      </c>
    </row>
    <row r="22" spans="2:16" ht="13.5" thickBot="1">
      <c r="B22"/>
      <c r="C22" s="48" t="s">
        <v>416</v>
      </c>
      <c r="D22">
        <v>7.09</v>
      </c>
      <c r="E22" s="48" t="s">
        <v>417</v>
      </c>
      <c r="N22" s="217" t="s">
        <v>447</v>
      </c>
      <c r="O22" s="218">
        <v>48.09</v>
      </c>
      <c r="P22" s="219">
        <v>35.7</v>
      </c>
    </row>
    <row r="23" spans="2:16" ht="13.5" thickBot="1">
      <c r="B23"/>
      <c r="C23" s="48" t="s">
        <v>416</v>
      </c>
      <c r="D23">
        <f>D22/D10</f>
        <v>3.2159699059968823</v>
      </c>
      <c r="E23" s="48" t="s">
        <v>418</v>
      </c>
      <c r="N23" s="220" t="s">
        <v>81</v>
      </c>
      <c r="O23" s="221">
        <v>100</v>
      </c>
      <c r="P23" s="222">
        <v>100</v>
      </c>
    </row>
    <row r="24" spans="2:16" ht="26.25" customHeight="1" thickBot="1" thickTop="1">
      <c r="B24"/>
      <c r="C24" s="48" t="s">
        <v>416</v>
      </c>
      <c r="D24">
        <f>D23/D4</f>
        <v>0.849569371286968</v>
      </c>
      <c r="E24" s="48" t="s">
        <v>419</v>
      </c>
      <c r="N24" s="223" t="s">
        <v>448</v>
      </c>
      <c r="O24" s="224" t="s">
        <v>442</v>
      </c>
      <c r="P24" s="225" t="s">
        <v>443</v>
      </c>
    </row>
    <row r="25" spans="2:16" ht="14.25" thickBot="1" thickTop="1">
      <c r="B25">
        <v>1</v>
      </c>
      <c r="C25" s="48" t="s">
        <v>420</v>
      </c>
      <c r="D25">
        <v>1</v>
      </c>
      <c r="E25" s="48" t="s">
        <v>421</v>
      </c>
      <c r="N25" s="217" t="s">
        <v>449</v>
      </c>
      <c r="O25" s="218">
        <v>67.45</v>
      </c>
      <c r="P25" s="219">
        <v>50.07</v>
      </c>
    </row>
    <row r="26" spans="2:16" ht="13.5" thickBot="1">
      <c r="B26"/>
      <c r="D26"/>
      <c r="N26" s="217" t="s">
        <v>450</v>
      </c>
      <c r="O26" s="218">
        <v>4.56</v>
      </c>
      <c r="P26" s="219">
        <v>3.38</v>
      </c>
    </row>
    <row r="27" spans="2:16" ht="13.5" thickBot="1">
      <c r="B27"/>
      <c r="D27"/>
      <c r="N27" s="217" t="s">
        <v>451</v>
      </c>
      <c r="O27" s="218">
        <v>0.96</v>
      </c>
      <c r="P27" s="219">
        <v>0.71</v>
      </c>
    </row>
    <row r="28" spans="2:16" ht="13.5" thickBot="1">
      <c r="B28">
        <v>1</v>
      </c>
      <c r="C28" t="s">
        <v>422</v>
      </c>
      <c r="D28">
        <v>3.21</v>
      </c>
      <c r="E28" t="s">
        <v>207</v>
      </c>
      <c r="F28" t="s">
        <v>423</v>
      </c>
      <c r="N28" s="217" t="s">
        <v>452</v>
      </c>
      <c r="O28" s="218">
        <v>0.98</v>
      </c>
      <c r="P28" s="219">
        <v>0.73</v>
      </c>
    </row>
    <row r="29" spans="2:16" ht="13.5" thickBot="1">
      <c r="B29">
        <v>1</v>
      </c>
      <c r="C29" t="s">
        <v>208</v>
      </c>
      <c r="D29">
        <f>D28/D35</f>
        <v>0.8479922889657199</v>
      </c>
      <c r="E29" t="s">
        <v>207</v>
      </c>
      <c r="N29" s="217" t="s">
        <v>453</v>
      </c>
      <c r="O29" s="218">
        <v>0.01</v>
      </c>
      <c r="P29" s="219">
        <v>0.01</v>
      </c>
    </row>
    <row r="30" spans="2:16" ht="13.5" thickBot="1">
      <c r="B30">
        <v>1</v>
      </c>
      <c r="C30" s="48" t="s">
        <v>424</v>
      </c>
      <c r="D30">
        <v>5280</v>
      </c>
      <c r="E30" s="48" t="s">
        <v>388</v>
      </c>
      <c r="N30" s="217" t="s">
        <v>445</v>
      </c>
      <c r="O30" s="218">
        <v>11.03</v>
      </c>
      <c r="P30" s="219">
        <v>8.19</v>
      </c>
    </row>
    <row r="31" spans="2:16" ht="13.5" thickBot="1">
      <c r="B31">
        <v>1</v>
      </c>
      <c r="C31" s="48" t="s">
        <v>407</v>
      </c>
      <c r="D31">
        <v>43560</v>
      </c>
      <c r="E31" s="48" t="s">
        <v>408</v>
      </c>
      <c r="N31" s="217" t="s">
        <v>444</v>
      </c>
      <c r="O31" s="218">
        <v>0</v>
      </c>
      <c r="P31" s="219">
        <v>25.77</v>
      </c>
    </row>
    <row r="32" spans="2:16" ht="13.5" thickBot="1">
      <c r="B32">
        <v>1</v>
      </c>
      <c r="C32" s="48" t="s">
        <v>169</v>
      </c>
      <c r="D32">
        <v>1000</v>
      </c>
      <c r="E32" s="48" t="s">
        <v>277</v>
      </c>
      <c r="N32" s="217" t="s">
        <v>454</v>
      </c>
      <c r="O32" s="218">
        <v>15.01</v>
      </c>
      <c r="P32" s="219">
        <v>11.14</v>
      </c>
    </row>
    <row r="33" spans="2:16" ht="13.5" thickBot="1">
      <c r="B33">
        <v>1</v>
      </c>
      <c r="C33" s="48" t="s">
        <v>425</v>
      </c>
      <c r="D33">
        <f>2204.62262</f>
        <v>2204.62262</v>
      </c>
      <c r="E33" s="48" t="s">
        <v>349</v>
      </c>
      <c r="N33" s="220" t="s">
        <v>81</v>
      </c>
      <c r="O33" s="221">
        <v>100</v>
      </c>
      <c r="P33" s="222">
        <v>100</v>
      </c>
    </row>
    <row r="34" spans="2:16" ht="13.5" thickTop="1">
      <c r="B34">
        <v>1</v>
      </c>
      <c r="C34" s="48" t="s">
        <v>425</v>
      </c>
      <c r="D34" s="48">
        <v>1000</v>
      </c>
      <c r="E34" s="48" t="s">
        <v>169</v>
      </c>
      <c r="N34" s="418" t="s">
        <v>455</v>
      </c>
      <c r="O34" s="226" t="s">
        <v>456</v>
      </c>
      <c r="P34" s="420" t="s">
        <v>443</v>
      </c>
    </row>
    <row r="35" spans="2:16" ht="26.25" thickBot="1">
      <c r="B35">
        <v>1</v>
      </c>
      <c r="C35" s="48" t="s">
        <v>426</v>
      </c>
      <c r="D35">
        <f>3.78541178</f>
        <v>3.78541178</v>
      </c>
      <c r="E35" s="48" t="s">
        <v>427</v>
      </c>
      <c r="N35" s="419"/>
      <c r="O35" s="224" t="s">
        <v>457</v>
      </c>
      <c r="P35" s="421"/>
    </row>
    <row r="36" spans="2:16" ht="14.25" thickBot="1" thickTop="1">
      <c r="B36">
        <v>1</v>
      </c>
      <c r="C36" s="48" t="s">
        <v>428</v>
      </c>
      <c r="D36" s="303">
        <f>0.45359237</f>
        <v>0.45359237</v>
      </c>
      <c r="E36" s="48" t="s">
        <v>169</v>
      </c>
      <c r="N36" s="217" t="s">
        <v>458</v>
      </c>
      <c r="O36" s="227">
        <v>26787</v>
      </c>
      <c r="P36" s="228">
        <v>19920</v>
      </c>
    </row>
    <row r="37" spans="2:16" ht="13.5" thickBot="1">
      <c r="B37">
        <v>1</v>
      </c>
      <c r="C37" s="60" t="s">
        <v>429</v>
      </c>
      <c r="D37">
        <f>2.47105381</f>
        <v>2.47105381</v>
      </c>
      <c r="E37" s="60" t="s">
        <v>384</v>
      </c>
      <c r="N37" s="217" t="s">
        <v>459</v>
      </c>
      <c r="O37" s="227">
        <v>11516</v>
      </c>
      <c r="P37" s="229">
        <v>8564</v>
      </c>
    </row>
    <row r="38" spans="2:16" ht="13.5" thickBot="1">
      <c r="B38">
        <v>1</v>
      </c>
      <c r="C38" s="60" t="s">
        <v>430</v>
      </c>
      <c r="D38">
        <v>25.4</v>
      </c>
      <c r="E38" s="60" t="s">
        <v>431</v>
      </c>
      <c r="N38" s="217" t="s">
        <v>460</v>
      </c>
      <c r="O38" s="227">
        <v>25810</v>
      </c>
      <c r="P38" s="228">
        <v>19195</v>
      </c>
    </row>
    <row r="39" spans="2:16" ht="13.5" thickBot="1">
      <c r="B39">
        <v>1</v>
      </c>
      <c r="C39" s="60" t="s">
        <v>432</v>
      </c>
      <c r="D39">
        <v>1000</v>
      </c>
      <c r="E39" s="60" t="s">
        <v>169</v>
      </c>
      <c r="N39" s="230" t="s">
        <v>461</v>
      </c>
      <c r="O39" s="231">
        <v>11096</v>
      </c>
      <c r="P39" s="232">
        <v>8252</v>
      </c>
    </row>
    <row r="40" spans="2:5" ht="13.5" thickTop="1">
      <c r="B40">
        <v>1</v>
      </c>
      <c r="C40" s="60" t="s">
        <v>425</v>
      </c>
      <c r="D40">
        <v>1000</v>
      </c>
      <c r="E40" s="60" t="s">
        <v>169</v>
      </c>
    </row>
    <row r="41" spans="2:5" ht="12.75">
      <c r="B41">
        <v>1</v>
      </c>
      <c r="C41" s="60" t="s">
        <v>407</v>
      </c>
      <c r="D41">
        <f>4046.85642</f>
        <v>4046.85642</v>
      </c>
      <c r="E41" s="60" t="s">
        <v>433</v>
      </c>
    </row>
    <row r="42" spans="2:5" ht="12.75">
      <c r="B42">
        <v>1</v>
      </c>
      <c r="C42" s="60" t="s">
        <v>431</v>
      </c>
      <c r="D42">
        <f>0.001</f>
        <v>0.001</v>
      </c>
      <c r="E42" s="60" t="s">
        <v>434</v>
      </c>
    </row>
    <row r="43" spans="2:5" ht="12.75">
      <c r="B43" s="48">
        <v>1</v>
      </c>
      <c r="C43" s="60" t="s">
        <v>435</v>
      </c>
      <c r="D43">
        <v>1000</v>
      </c>
      <c r="E43" s="60" t="s">
        <v>172</v>
      </c>
    </row>
    <row r="44" spans="2:5" ht="12.75">
      <c r="B44" s="48">
        <v>1</v>
      </c>
      <c r="C44" s="60" t="s">
        <v>436</v>
      </c>
      <c r="D44">
        <v>0.001</v>
      </c>
      <c r="E44" s="60" t="s">
        <v>169</v>
      </c>
    </row>
    <row r="45" spans="2:5" ht="12.75">
      <c r="B45" s="48">
        <v>1</v>
      </c>
      <c r="C45" s="60" t="s">
        <v>437</v>
      </c>
      <c r="D45">
        <v>1E-06</v>
      </c>
      <c r="E45" s="60" t="s">
        <v>169</v>
      </c>
    </row>
    <row r="46" spans="2:5" ht="12.75">
      <c r="B46" s="48">
        <v>1</v>
      </c>
      <c r="C46" s="60" t="s">
        <v>274</v>
      </c>
      <c r="D46">
        <f>907.18474</f>
        <v>907.18474</v>
      </c>
      <c r="E46" s="60" t="s">
        <v>169</v>
      </c>
    </row>
    <row r="47" spans="2:5" ht="12.75">
      <c r="B47" s="48">
        <v>1</v>
      </c>
      <c r="C47" s="60" t="s">
        <v>438</v>
      </c>
      <c r="D47">
        <v>1</v>
      </c>
      <c r="E47" s="60" t="s">
        <v>439</v>
      </c>
    </row>
  </sheetData>
  <sheetProtection/>
  <mergeCells count="3">
    <mergeCell ref="B3:E3"/>
    <mergeCell ref="N34:N35"/>
    <mergeCell ref="P34:P3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AL14"/>
  <sheetViews>
    <sheetView zoomScalePageLayoutView="0" workbookViewId="0" topLeftCell="A1">
      <selection activeCell="A1" sqref="A1"/>
    </sheetView>
  </sheetViews>
  <sheetFormatPr defaultColWidth="9.140625" defaultRowHeight="12.75"/>
  <cols>
    <col min="3" max="3" width="13.140625" style="0" bestFit="1" customWidth="1"/>
  </cols>
  <sheetData>
    <row r="1" spans="1:38" ht="20.25">
      <c r="A1" s="50"/>
      <c r="B1" s="50"/>
      <c r="C1" s="50"/>
      <c r="D1" s="50"/>
      <c r="E1" s="50"/>
      <c r="F1" s="50"/>
      <c r="G1" s="50"/>
      <c r="H1" s="78" t="s">
        <v>204</v>
      </c>
      <c r="N1" s="50"/>
      <c r="O1" s="50"/>
      <c r="P1" s="50"/>
      <c r="Q1" s="50"/>
      <c r="R1" s="50"/>
      <c r="S1" s="50"/>
      <c r="T1" s="50"/>
      <c r="U1" s="50"/>
      <c r="V1" s="50"/>
      <c r="W1" s="50"/>
      <c r="X1" s="50"/>
      <c r="Y1" s="50"/>
      <c r="Z1" s="50"/>
      <c r="AA1" s="50"/>
      <c r="AB1" s="50"/>
      <c r="AC1" s="50"/>
      <c r="AD1" s="50"/>
      <c r="AE1" s="50"/>
      <c r="AF1" s="50"/>
      <c r="AG1" s="50"/>
      <c r="AH1" s="50"/>
      <c r="AI1" s="50"/>
      <c r="AJ1" s="50"/>
      <c r="AK1" s="50"/>
      <c r="AL1" s="50"/>
    </row>
    <row r="3" spans="3:4" ht="12.75">
      <c r="C3" s="57" t="s">
        <v>205</v>
      </c>
      <c r="D3" s="57" t="s">
        <v>206</v>
      </c>
    </row>
    <row r="4" spans="3:12" s="80" customFormat="1" ht="43.5" customHeight="1">
      <c r="C4" s="148">
        <v>1</v>
      </c>
      <c r="D4" s="382" t="s">
        <v>665</v>
      </c>
      <c r="E4" s="382"/>
      <c r="F4" s="382"/>
      <c r="G4" s="382"/>
      <c r="H4" s="382"/>
      <c r="I4" s="382"/>
      <c r="J4" s="382"/>
      <c r="K4" s="382"/>
      <c r="L4" s="382"/>
    </row>
    <row r="5" spans="3:12" s="80" customFormat="1" ht="18.75" customHeight="1">
      <c r="C5" s="149">
        <v>2</v>
      </c>
      <c r="D5" s="423" t="s">
        <v>666</v>
      </c>
      <c r="E5" s="423"/>
      <c r="F5" s="423"/>
      <c r="G5" s="423"/>
      <c r="H5" s="423"/>
      <c r="I5" s="423"/>
      <c r="J5" s="423"/>
      <c r="K5" s="423"/>
      <c r="L5" s="423"/>
    </row>
    <row r="6" spans="3:12" s="80" customFormat="1" ht="18.75" customHeight="1">
      <c r="C6" s="149">
        <v>3</v>
      </c>
      <c r="D6" s="424" t="s">
        <v>667</v>
      </c>
      <c r="E6" s="424"/>
      <c r="F6" s="424"/>
      <c r="G6" s="424"/>
      <c r="H6" s="424"/>
      <c r="I6" s="424"/>
      <c r="J6" s="424"/>
      <c r="K6" s="424"/>
      <c r="L6" s="424"/>
    </row>
    <row r="7" spans="3:12" ht="18.75" customHeight="1">
      <c r="C7" s="150">
        <v>4</v>
      </c>
      <c r="D7" s="364" t="s">
        <v>668</v>
      </c>
      <c r="E7" s="364"/>
      <c r="F7" s="364"/>
      <c r="G7" s="364"/>
      <c r="H7" s="364"/>
      <c r="I7" s="364"/>
      <c r="J7" s="364"/>
      <c r="K7" s="364"/>
      <c r="L7" s="364"/>
    </row>
    <row r="8" spans="3:12" ht="18.75" customHeight="1">
      <c r="C8" s="150">
        <v>5</v>
      </c>
      <c r="D8" s="422" t="s">
        <v>670</v>
      </c>
      <c r="E8" s="422"/>
      <c r="F8" s="422"/>
      <c r="G8" s="422"/>
      <c r="H8" s="422"/>
      <c r="I8" s="422"/>
      <c r="J8" s="422"/>
      <c r="K8" s="422"/>
      <c r="L8" s="422"/>
    </row>
    <row r="9" spans="3:12" ht="18.75" customHeight="1">
      <c r="C9" s="148">
        <v>6</v>
      </c>
      <c r="D9" s="422" t="s">
        <v>669</v>
      </c>
      <c r="E9" s="422"/>
      <c r="F9" s="422"/>
      <c r="G9" s="422"/>
      <c r="H9" s="422"/>
      <c r="I9" s="422"/>
      <c r="J9" s="422"/>
      <c r="K9" s="422"/>
      <c r="L9" s="422"/>
    </row>
    <row r="10" spans="3:12" ht="18.75" customHeight="1">
      <c r="C10" s="148">
        <v>7</v>
      </c>
      <c r="D10" s="422" t="s">
        <v>842</v>
      </c>
      <c r="E10" s="422"/>
      <c r="F10" s="422"/>
      <c r="G10" s="422"/>
      <c r="H10" s="422"/>
      <c r="I10" s="422"/>
      <c r="J10" s="422"/>
      <c r="K10" s="422"/>
      <c r="L10" s="422"/>
    </row>
    <row r="14" ht="12.75">
      <c r="C14" s="48"/>
    </row>
  </sheetData>
  <sheetProtection/>
  <mergeCells count="7">
    <mergeCell ref="D10:L10"/>
    <mergeCell ref="D4:L4"/>
    <mergeCell ref="D5:L5"/>
    <mergeCell ref="D6:L6"/>
    <mergeCell ref="D7:L7"/>
    <mergeCell ref="D8:L8"/>
    <mergeCell ref="D9:L9"/>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codeName="Sheet16"/>
  <dimension ref="A1:AL29"/>
  <sheetViews>
    <sheetView zoomScalePageLayoutView="0" workbookViewId="0" topLeftCell="A1">
      <selection activeCell="A1" sqref="A1"/>
    </sheetView>
  </sheetViews>
  <sheetFormatPr defaultColWidth="9.140625" defaultRowHeight="12.75"/>
  <cols>
    <col min="2" max="2" width="43.28125" style="0" customWidth="1"/>
    <col min="3" max="3" width="12.7109375" style="0" customWidth="1"/>
    <col min="4" max="4" width="18.140625" style="0" customWidth="1"/>
    <col min="5" max="5" width="10.8515625" style="0" customWidth="1"/>
    <col min="6" max="6" width="14.28125" style="0" customWidth="1"/>
  </cols>
  <sheetData>
    <row r="1" spans="1:38" ht="20.25">
      <c r="A1" s="50"/>
      <c r="B1" s="50"/>
      <c r="C1" s="50"/>
      <c r="D1" s="270" t="s">
        <v>858</v>
      </c>
      <c r="E1" s="50"/>
      <c r="F1" s="50"/>
      <c r="G1" s="50"/>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38" ht="20.25">
      <c r="A2" s="76" t="s">
        <v>859</v>
      </c>
      <c r="C2" s="50"/>
      <c r="D2" s="270"/>
      <c r="E2" s="50"/>
      <c r="F2" s="50"/>
      <c r="G2" s="50"/>
      <c r="N2" s="50"/>
      <c r="O2" s="50"/>
      <c r="P2" s="50"/>
      <c r="Q2" s="50"/>
      <c r="R2" s="50"/>
      <c r="S2" s="50"/>
      <c r="T2" s="50"/>
      <c r="U2" s="50"/>
      <c r="V2" s="50"/>
      <c r="W2" s="50"/>
      <c r="X2" s="50"/>
      <c r="Y2" s="50"/>
      <c r="Z2" s="50"/>
      <c r="AA2" s="50"/>
      <c r="AB2" s="50"/>
      <c r="AC2" s="50"/>
      <c r="AD2" s="50"/>
      <c r="AE2" s="50"/>
      <c r="AF2" s="50"/>
      <c r="AG2" s="50"/>
      <c r="AH2" s="50"/>
      <c r="AI2" s="50"/>
      <c r="AJ2" s="50"/>
      <c r="AK2" s="50"/>
      <c r="AL2" s="50"/>
    </row>
    <row r="3" spans="1:38" ht="12.75" customHeight="1">
      <c r="A3" s="271"/>
      <c r="C3" s="50"/>
      <c r="D3" s="270"/>
      <c r="E3" s="50"/>
      <c r="F3" s="50"/>
      <c r="G3" s="50"/>
      <c r="N3" s="50"/>
      <c r="O3" s="50"/>
      <c r="P3" s="50"/>
      <c r="Q3" s="50"/>
      <c r="R3" s="50"/>
      <c r="S3" s="50"/>
      <c r="T3" s="50"/>
      <c r="U3" s="50"/>
      <c r="V3" s="50"/>
      <c r="W3" s="50"/>
      <c r="X3" s="50"/>
      <c r="Y3" s="50"/>
      <c r="Z3" s="50"/>
      <c r="AA3" s="50"/>
      <c r="AB3" s="50"/>
      <c r="AC3" s="50"/>
      <c r="AD3" s="50"/>
      <c r="AE3" s="50"/>
      <c r="AF3" s="50"/>
      <c r="AG3" s="50"/>
      <c r="AH3" s="50"/>
      <c r="AI3" s="50"/>
      <c r="AJ3" s="50"/>
      <c r="AK3" s="50"/>
      <c r="AL3" s="50"/>
    </row>
    <row r="4" spans="1:38" ht="12.75" customHeight="1">
      <c r="A4" s="76"/>
      <c r="C4" s="50"/>
      <c r="D4" s="270"/>
      <c r="E4" s="50"/>
      <c r="F4" s="50"/>
      <c r="G4" s="50"/>
      <c r="N4" s="50"/>
      <c r="O4" s="50"/>
      <c r="P4" s="50"/>
      <c r="Q4" s="50"/>
      <c r="R4" s="50"/>
      <c r="S4" s="50"/>
      <c r="T4" s="50"/>
      <c r="U4" s="50"/>
      <c r="V4" s="50"/>
      <c r="W4" s="50"/>
      <c r="X4" s="50"/>
      <c r="Y4" s="50"/>
      <c r="Z4" s="50"/>
      <c r="AA4" s="50"/>
      <c r="AB4" s="50"/>
      <c r="AC4" s="50"/>
      <c r="AD4" s="50"/>
      <c r="AE4" s="50"/>
      <c r="AF4" s="50"/>
      <c r="AG4" s="50"/>
      <c r="AH4" s="50"/>
      <c r="AI4" s="50"/>
      <c r="AJ4" s="50"/>
      <c r="AK4" s="50"/>
      <c r="AL4" s="50"/>
    </row>
    <row r="5" spans="1:38" ht="12.75" customHeight="1">
      <c r="A5" s="76"/>
      <c r="C5" s="50"/>
      <c r="D5" s="270"/>
      <c r="E5" s="50"/>
      <c r="F5" s="50"/>
      <c r="G5" s="50"/>
      <c r="N5" s="50"/>
      <c r="O5" s="50"/>
      <c r="P5" s="50"/>
      <c r="Q5" s="50"/>
      <c r="R5" s="50"/>
      <c r="S5" s="50"/>
      <c r="T5" s="50"/>
      <c r="U5" s="50"/>
      <c r="V5" s="50"/>
      <c r="W5" s="50"/>
      <c r="X5" s="50"/>
      <c r="Y5" s="50"/>
      <c r="Z5" s="50"/>
      <c r="AA5" s="50"/>
      <c r="AB5" s="50"/>
      <c r="AC5" s="50"/>
      <c r="AD5" s="50"/>
      <c r="AE5" s="50"/>
      <c r="AF5" s="50"/>
      <c r="AG5" s="50"/>
      <c r="AH5" s="50"/>
      <c r="AI5" s="50"/>
      <c r="AJ5" s="50"/>
      <c r="AK5" s="50"/>
      <c r="AL5" s="50"/>
    </row>
    <row r="6" spans="1:38" ht="12.75" customHeight="1">
      <c r="A6" s="76"/>
      <c r="C6" s="50"/>
      <c r="D6" s="270"/>
      <c r="E6" s="50"/>
      <c r="F6" s="50"/>
      <c r="G6" s="50"/>
      <c r="N6" s="50"/>
      <c r="O6" s="50"/>
      <c r="P6" s="50"/>
      <c r="Q6" s="50"/>
      <c r="R6" s="50"/>
      <c r="S6" s="50"/>
      <c r="T6" s="50"/>
      <c r="U6" s="50"/>
      <c r="V6" s="50"/>
      <c r="W6" s="50"/>
      <c r="X6" s="50"/>
      <c r="Y6" s="50"/>
      <c r="Z6" s="50"/>
      <c r="AA6" s="50"/>
      <c r="AB6" s="50"/>
      <c r="AC6" s="50"/>
      <c r="AD6" s="50"/>
      <c r="AE6" s="50"/>
      <c r="AF6" s="50"/>
      <c r="AG6" s="50"/>
      <c r="AH6" s="50"/>
      <c r="AI6" s="50"/>
      <c r="AJ6" s="50"/>
      <c r="AK6" s="50"/>
      <c r="AL6" s="50"/>
    </row>
    <row r="7" spans="1:38" ht="12.75" customHeight="1">
      <c r="A7" s="76"/>
      <c r="C7" s="50"/>
      <c r="D7" s="270"/>
      <c r="E7" s="50"/>
      <c r="F7" s="50"/>
      <c r="G7" s="50"/>
      <c r="N7" s="50"/>
      <c r="O7" s="50"/>
      <c r="P7" s="50"/>
      <c r="Q7" s="50"/>
      <c r="R7" s="50"/>
      <c r="S7" s="50"/>
      <c r="T7" s="50"/>
      <c r="U7" s="50"/>
      <c r="V7" s="50"/>
      <c r="W7" s="50"/>
      <c r="X7" s="50"/>
      <c r="Y7" s="50"/>
      <c r="Z7" s="50"/>
      <c r="AA7" s="50"/>
      <c r="AB7" s="50"/>
      <c r="AC7" s="50"/>
      <c r="AD7" s="50"/>
      <c r="AE7" s="50"/>
      <c r="AF7" s="50"/>
      <c r="AG7" s="50"/>
      <c r="AH7" s="50"/>
      <c r="AI7" s="50"/>
      <c r="AJ7" s="50"/>
      <c r="AK7" s="50"/>
      <c r="AL7" s="50"/>
    </row>
    <row r="8" spans="3:4" ht="12.75" customHeight="1">
      <c r="C8" s="272"/>
      <c r="D8" s="272"/>
    </row>
    <row r="9" spans="2:4" ht="12.75" customHeight="1">
      <c r="B9" s="273"/>
      <c r="C9" s="273"/>
      <c r="D9" s="273"/>
    </row>
    <row r="10" spans="2:4" ht="12.75" customHeight="1">
      <c r="B10" s="273"/>
      <c r="C10" s="273"/>
      <c r="D10" s="273"/>
    </row>
    <row r="11" spans="2:4" ht="12.75" customHeight="1">
      <c r="B11" s="272" t="s">
        <v>860</v>
      </c>
      <c r="C11" s="273"/>
      <c r="D11" s="273"/>
    </row>
    <row r="12" spans="2:6" ht="12.75">
      <c r="B12" s="425" t="s">
        <v>861</v>
      </c>
      <c r="C12" s="425"/>
      <c r="D12" s="425"/>
      <c r="E12" s="425"/>
      <c r="F12" s="425"/>
    </row>
    <row r="13" spans="3:6" ht="12.75">
      <c r="C13" s="271" t="s">
        <v>862</v>
      </c>
      <c r="D13" s="271" t="s">
        <v>108</v>
      </c>
      <c r="E13" s="271" t="s">
        <v>863</v>
      </c>
      <c r="F13" s="271" t="s">
        <v>864</v>
      </c>
    </row>
    <row r="14" spans="2:6" ht="12.75">
      <c r="B14" s="274" t="s">
        <v>865</v>
      </c>
      <c r="C14" s="275">
        <v>0.0028092338935927093</v>
      </c>
      <c r="D14" s="271" t="s">
        <v>866</v>
      </c>
      <c r="E14" s="276">
        <f aca="true" t="shared" si="0" ref="E14:E22">C14/$C$23</f>
        <v>0.9127546895452501</v>
      </c>
      <c r="F14" s="276"/>
    </row>
    <row r="15" spans="2:6" ht="12.75">
      <c r="B15" s="274" t="s">
        <v>867</v>
      </c>
      <c r="C15" s="275">
        <v>3.4764826175869123E-07</v>
      </c>
      <c r="D15" s="271" t="s">
        <v>866</v>
      </c>
      <c r="E15" s="276">
        <f t="shared" si="0"/>
        <v>0.00011295520175669134</v>
      </c>
      <c r="F15" s="276">
        <f>C15/$C$24</f>
        <v>0.0028992540396042582</v>
      </c>
    </row>
    <row r="16" spans="2:6" ht="12.75">
      <c r="B16" s="274" t="s">
        <v>868</v>
      </c>
      <c r="C16" s="275">
        <v>0.00014861000012462294</v>
      </c>
      <c r="D16" s="271" t="s">
        <v>866</v>
      </c>
      <c r="E16" s="276">
        <f t="shared" si="0"/>
        <v>0.04828521926794605</v>
      </c>
      <c r="F16" s="276"/>
    </row>
    <row r="17" spans="2:6" ht="12.75">
      <c r="B17" s="274" t="s">
        <v>869</v>
      </c>
      <c r="C17" s="275">
        <v>2.4900000000000002E-05</v>
      </c>
      <c r="D17" s="271" t="s">
        <v>866</v>
      </c>
      <c r="E17" s="276">
        <f t="shared" si="0"/>
        <v>0.008090316659468527</v>
      </c>
      <c r="F17" s="276">
        <f aca="true" t="shared" si="1" ref="F17:F22">C17/$C$24</f>
        <v>0.20765651242132593</v>
      </c>
    </row>
    <row r="18" spans="2:6" ht="15.75">
      <c r="B18" s="274" t="s">
        <v>870</v>
      </c>
      <c r="C18" s="275">
        <v>2.675700524027908E-11</v>
      </c>
      <c r="D18" s="271" t="s">
        <v>866</v>
      </c>
      <c r="E18" s="276">
        <f t="shared" si="0"/>
        <v>8.693680532245642E-09</v>
      </c>
      <c r="F18" s="276">
        <f t="shared" si="1"/>
        <v>2.231432285556424E-07</v>
      </c>
    </row>
    <row r="19" spans="2:6" ht="12.75">
      <c r="B19" s="274" t="s">
        <v>871</v>
      </c>
      <c r="C19" s="275">
        <v>9.454627087077075E-05</v>
      </c>
      <c r="D19" s="271" t="s">
        <v>866</v>
      </c>
      <c r="E19" s="276">
        <f t="shared" si="0"/>
        <v>0.030719247803872304</v>
      </c>
      <c r="F19" s="276">
        <f t="shared" si="1"/>
        <v>0.7884798743560743</v>
      </c>
    </row>
    <row r="20" spans="2:6" ht="12.75">
      <c r="B20" s="274" t="s">
        <v>872</v>
      </c>
      <c r="C20" s="275">
        <v>6.970896346340609E-12</v>
      </c>
      <c r="D20" s="271" t="s">
        <v>866</v>
      </c>
      <c r="E20" s="276">
        <f t="shared" si="0"/>
        <v>2.264930073985048E-09</v>
      </c>
      <c r="F20" s="276">
        <f t="shared" si="1"/>
        <v>5.8134619426974054E-08</v>
      </c>
    </row>
    <row r="21" spans="2:6" ht="12.75">
      <c r="B21" s="274" t="s">
        <v>230</v>
      </c>
      <c r="C21" s="275">
        <v>1.3962250062259618E-13</v>
      </c>
      <c r="D21" s="271" t="s">
        <v>866</v>
      </c>
      <c r="E21" s="276">
        <f t="shared" si="0"/>
        <v>4.5365069992917445E-11</v>
      </c>
      <c r="F21" s="276">
        <f t="shared" si="1"/>
        <v>1.1643984552141658E-09</v>
      </c>
    </row>
    <row r="22" spans="2:6" ht="12.75">
      <c r="B22" s="277" t="s">
        <v>231</v>
      </c>
      <c r="C22" s="277">
        <v>1.1560201298112204E-07</v>
      </c>
      <c r="D22" s="278" t="s">
        <v>866</v>
      </c>
      <c r="E22" s="279">
        <f t="shared" si="0"/>
        <v>3.756051773049271E-05</v>
      </c>
      <c r="F22" s="280">
        <f t="shared" si="1"/>
        <v>0.000964076740744765</v>
      </c>
    </row>
    <row r="23" spans="2:3" ht="12.75">
      <c r="B23" s="281" t="s">
        <v>81</v>
      </c>
      <c r="C23">
        <f>SUM(C14:C22)</f>
        <v>0.0030777534487303674</v>
      </c>
    </row>
    <row r="24" spans="2:3" ht="12.75">
      <c r="B24" s="281" t="s">
        <v>873</v>
      </c>
      <c r="C24">
        <f>C23-C14-C16</f>
        <v>0.00011990955501303517</v>
      </c>
    </row>
    <row r="26" ht="12.75">
      <c r="B26" s="271" t="s">
        <v>874</v>
      </c>
    </row>
    <row r="27" ht="12.75">
      <c r="B27" s="271" t="s">
        <v>875</v>
      </c>
    </row>
    <row r="29" ht="12.75">
      <c r="B29" s="1" t="s">
        <v>876</v>
      </c>
    </row>
  </sheetData>
  <sheetProtection/>
  <mergeCells count="1">
    <mergeCell ref="B12:F1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421"/>
  <sheetViews>
    <sheetView showGridLines="0" tabSelected="1" zoomScalePageLayoutView="40" workbookViewId="0" topLeftCell="A1">
      <selection activeCell="A1" sqref="A1"/>
    </sheetView>
  </sheetViews>
  <sheetFormatPr defaultColWidth="9.140625" defaultRowHeight="12.75"/>
  <cols>
    <col min="1" max="1" width="1.8515625" style="5" customWidth="1"/>
    <col min="2" max="2" width="3.7109375" style="1" customWidth="1"/>
    <col min="3" max="3" width="29.57421875" style="0" customWidth="1"/>
    <col min="4" max="4" width="51.140625" style="0" customWidth="1"/>
    <col min="5" max="6" width="12.28125" style="0" customWidth="1"/>
    <col min="7" max="7" width="12.851562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9.00390625" style="0" customWidth="1"/>
    <col min="15" max="15" width="2.140625" style="5" customWidth="1"/>
    <col min="16" max="23" width="9.140625" style="5" customWidth="1"/>
  </cols>
  <sheetData>
    <row r="1" spans="2:15" ht="20.25">
      <c r="B1" s="329" t="s">
        <v>891</v>
      </c>
      <c r="C1" s="329"/>
      <c r="D1" s="329"/>
      <c r="E1" s="329"/>
      <c r="F1" s="329"/>
      <c r="G1" s="329"/>
      <c r="H1" s="329"/>
      <c r="I1" s="329"/>
      <c r="J1" s="329"/>
      <c r="K1" s="329"/>
      <c r="L1" s="329"/>
      <c r="M1" s="329"/>
      <c r="N1" s="329"/>
      <c r="O1" s="329"/>
    </row>
    <row r="2" spans="2:15" ht="20.25">
      <c r="B2" s="329" t="s">
        <v>83</v>
      </c>
      <c r="C2" s="329"/>
      <c r="D2" s="329"/>
      <c r="E2" s="329"/>
      <c r="F2" s="329"/>
      <c r="G2" s="329"/>
      <c r="H2" s="329"/>
      <c r="I2" s="329"/>
      <c r="J2" s="329"/>
      <c r="K2" s="329"/>
      <c r="L2" s="329"/>
      <c r="M2" s="329"/>
      <c r="N2" s="329"/>
      <c r="O2" s="329"/>
    </row>
    <row r="3" spans="2:14" ht="5.25" customHeight="1">
      <c r="B3" s="4"/>
      <c r="C3" s="5"/>
      <c r="D3" s="5"/>
      <c r="E3" s="5"/>
      <c r="F3" s="5"/>
      <c r="G3" s="5"/>
      <c r="H3" s="5"/>
      <c r="J3" s="5"/>
      <c r="K3" s="5"/>
      <c r="L3" s="5"/>
      <c r="M3" s="5"/>
      <c r="N3" s="5"/>
    </row>
    <row r="4" spans="2:14" ht="13.5" thickBot="1">
      <c r="B4" s="342" t="s">
        <v>84</v>
      </c>
      <c r="C4" s="342"/>
      <c r="D4" s="313" t="s">
        <v>902</v>
      </c>
      <c r="E4" s="41"/>
      <c r="F4" s="5"/>
      <c r="G4" s="5"/>
      <c r="H4" s="5"/>
      <c r="J4" s="5"/>
      <c r="K4" s="5"/>
      <c r="L4" s="5"/>
      <c r="M4" s="5"/>
      <c r="N4" s="5"/>
    </row>
    <row r="5" spans="2:14" ht="13.5" thickBot="1">
      <c r="B5" s="342" t="s">
        <v>85</v>
      </c>
      <c r="C5" s="342"/>
      <c r="D5" s="30">
        <v>1</v>
      </c>
      <c r="E5" s="30" t="s">
        <v>169</v>
      </c>
      <c r="F5" s="23" t="s">
        <v>78</v>
      </c>
      <c r="G5" s="340" t="s">
        <v>896</v>
      </c>
      <c r="H5" s="341"/>
      <c r="I5" s="341"/>
      <c r="J5" s="341"/>
      <c r="K5" s="84" t="s">
        <v>47</v>
      </c>
      <c r="L5" s="85" t="str">
        <f>DQI!I13</f>
        <v>2,2,3,2,2</v>
      </c>
      <c r="M5" s="86"/>
      <c r="N5" s="88" t="s">
        <v>233</v>
      </c>
    </row>
    <row r="6" spans="2:14" ht="27.75" customHeight="1">
      <c r="B6" s="361" t="s">
        <v>86</v>
      </c>
      <c r="C6" s="362"/>
      <c r="D6" s="348" t="s">
        <v>897</v>
      </c>
      <c r="E6" s="349"/>
      <c r="F6" s="349"/>
      <c r="G6" s="349"/>
      <c r="H6" s="349"/>
      <c r="I6" s="349"/>
      <c r="J6" s="349"/>
      <c r="K6" s="349"/>
      <c r="L6" s="349"/>
      <c r="M6" s="350"/>
      <c r="N6" s="28"/>
    </row>
    <row r="7" spans="2:14" ht="13.5" thickBot="1">
      <c r="B7" s="4"/>
      <c r="C7" s="5"/>
      <c r="D7" s="5"/>
      <c r="E7" s="5"/>
      <c r="F7" s="5"/>
      <c r="G7" s="5"/>
      <c r="H7" s="5"/>
      <c r="J7" s="5"/>
      <c r="K7" s="5"/>
      <c r="L7" s="5"/>
      <c r="M7" s="5"/>
      <c r="N7" s="5"/>
    </row>
    <row r="8" spans="1:23" s="2" customFormat="1" ht="13.5" thickBot="1">
      <c r="A8" s="6"/>
      <c r="B8" s="351" t="s">
        <v>94</v>
      </c>
      <c r="C8" s="352"/>
      <c r="D8" s="352"/>
      <c r="E8" s="352"/>
      <c r="F8" s="352"/>
      <c r="G8" s="352"/>
      <c r="H8" s="352"/>
      <c r="I8" s="352"/>
      <c r="J8" s="352"/>
      <c r="K8" s="352"/>
      <c r="L8" s="352"/>
      <c r="M8" s="352"/>
      <c r="N8" s="353"/>
      <c r="O8" s="6"/>
      <c r="P8" s="6"/>
      <c r="Q8" s="6"/>
      <c r="R8" s="6"/>
      <c r="S8" s="6"/>
      <c r="T8" s="6"/>
      <c r="U8" s="6"/>
      <c r="V8" s="6"/>
      <c r="W8" s="6"/>
    </row>
    <row r="9" spans="2:14" ht="12.75">
      <c r="B9" s="4"/>
      <c r="C9" s="5"/>
      <c r="D9" s="5"/>
      <c r="E9" s="5"/>
      <c r="F9" s="5"/>
      <c r="G9" s="5"/>
      <c r="H9" s="5"/>
      <c r="J9" s="5"/>
      <c r="K9" s="5"/>
      <c r="L9" s="5"/>
      <c r="M9" s="5"/>
      <c r="N9" s="5"/>
    </row>
    <row r="10" spans="2:14" ht="12.75">
      <c r="B10" s="342" t="s">
        <v>87</v>
      </c>
      <c r="C10" s="342"/>
      <c r="D10" s="345" t="s">
        <v>165</v>
      </c>
      <c r="E10" s="344"/>
      <c r="F10" s="5"/>
      <c r="G10" s="5"/>
      <c r="H10" s="5"/>
      <c r="J10" s="5"/>
      <c r="K10" s="5"/>
      <c r="L10" s="5"/>
      <c r="M10" s="5"/>
      <c r="N10" s="5"/>
    </row>
    <row r="11" spans="2:14" ht="12.75">
      <c r="B11" s="346" t="s">
        <v>151</v>
      </c>
      <c r="C11" s="347"/>
      <c r="D11" s="343" t="s">
        <v>895</v>
      </c>
      <c r="E11" s="344"/>
      <c r="F11" s="5"/>
      <c r="G11" s="5"/>
      <c r="H11" s="5"/>
      <c r="J11" s="5"/>
      <c r="K11" s="5"/>
      <c r="L11" s="5"/>
      <c r="M11" s="5"/>
      <c r="N11" s="5"/>
    </row>
    <row r="12" spans="2:14" ht="12.75">
      <c r="B12" s="342" t="s">
        <v>88</v>
      </c>
      <c r="C12" s="342"/>
      <c r="D12" s="355">
        <v>2008</v>
      </c>
      <c r="E12" s="355"/>
      <c r="F12" s="5"/>
      <c r="G12" s="5"/>
      <c r="H12" s="5"/>
      <c r="J12" s="5"/>
      <c r="K12" s="5"/>
      <c r="L12" s="5"/>
      <c r="M12" s="5"/>
      <c r="N12" s="5"/>
    </row>
    <row r="13" spans="2:14" ht="12.75">
      <c r="B13" s="342" t="s">
        <v>89</v>
      </c>
      <c r="C13" s="342"/>
      <c r="D13" s="355" t="s">
        <v>159</v>
      </c>
      <c r="E13" s="355"/>
      <c r="F13" s="5"/>
      <c r="G13" s="5"/>
      <c r="H13" s="5"/>
      <c r="J13" s="5"/>
      <c r="K13" s="5"/>
      <c r="L13" s="5"/>
      <c r="M13" s="5"/>
      <c r="N13" s="5"/>
    </row>
    <row r="14" spans="2:14" ht="12.75">
      <c r="B14" s="342" t="s">
        <v>90</v>
      </c>
      <c r="C14" s="342"/>
      <c r="D14" s="355" t="s">
        <v>116</v>
      </c>
      <c r="E14" s="355"/>
      <c r="F14" s="5"/>
      <c r="G14" s="5"/>
      <c r="H14" s="5"/>
      <c r="J14" s="5"/>
      <c r="K14" s="5"/>
      <c r="L14" s="5"/>
      <c r="M14" s="5"/>
      <c r="N14" s="5"/>
    </row>
    <row r="15" spans="2:14" ht="12.75">
      <c r="B15" s="342" t="s">
        <v>91</v>
      </c>
      <c r="C15" s="342"/>
      <c r="D15" s="355" t="s">
        <v>166</v>
      </c>
      <c r="E15" s="355"/>
      <c r="F15" s="5"/>
      <c r="G15" s="5"/>
      <c r="H15" s="5"/>
      <c r="J15" s="5"/>
      <c r="K15" s="5"/>
      <c r="L15" s="5"/>
      <c r="M15" s="5"/>
      <c r="N15" s="5"/>
    </row>
    <row r="16" spans="2:14" ht="12.75">
      <c r="B16" s="342" t="s">
        <v>92</v>
      </c>
      <c r="C16" s="342"/>
      <c r="D16" s="355" t="s">
        <v>119</v>
      </c>
      <c r="E16" s="355"/>
      <c r="F16" s="5"/>
      <c r="G16" s="5"/>
      <c r="H16" s="5"/>
      <c r="J16" s="5"/>
      <c r="K16" s="5"/>
      <c r="L16" s="5"/>
      <c r="M16" s="5"/>
      <c r="N16" s="5"/>
    </row>
    <row r="17" spans="2:14" ht="18" customHeight="1">
      <c r="B17" s="359" t="s">
        <v>93</v>
      </c>
      <c r="C17" s="360"/>
      <c r="D17" s="354"/>
      <c r="E17" s="354"/>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351" t="s">
        <v>95</v>
      </c>
      <c r="C20" s="352"/>
      <c r="D20" s="352"/>
      <c r="E20" s="352"/>
      <c r="F20" s="352"/>
      <c r="G20" s="352"/>
      <c r="H20" s="352"/>
      <c r="I20" s="352"/>
      <c r="J20" s="352"/>
      <c r="K20" s="352"/>
      <c r="L20" s="352"/>
      <c r="M20" s="352"/>
      <c r="N20" s="353"/>
      <c r="O20" s="6"/>
      <c r="P20" s="6"/>
      <c r="Q20" s="6"/>
      <c r="R20" s="6"/>
      <c r="S20" s="6"/>
      <c r="T20" s="6"/>
      <c r="U20" s="6"/>
      <c r="V20" s="6"/>
      <c r="W20" s="6"/>
    </row>
    <row r="21" spans="2:14" ht="12.75">
      <c r="B21" s="4"/>
      <c r="C21" s="5"/>
      <c r="D21" s="5"/>
      <c r="E21" s="5"/>
      <c r="F21" s="5"/>
      <c r="G21" s="89" t="s">
        <v>234</v>
      </c>
      <c r="H21" s="5"/>
      <c r="J21" s="5"/>
      <c r="K21" s="5"/>
      <c r="L21" s="5"/>
      <c r="M21" s="5"/>
      <c r="N21" s="5"/>
    </row>
    <row r="22" spans="2:14" ht="12.75">
      <c r="B22" s="4"/>
      <c r="C22" s="3" t="s">
        <v>98</v>
      </c>
      <c r="D22" s="3" t="s">
        <v>99</v>
      </c>
      <c r="E22" s="3" t="s">
        <v>100</v>
      </c>
      <c r="F22" s="3" t="s">
        <v>108</v>
      </c>
      <c r="G22" s="3" t="s">
        <v>101</v>
      </c>
      <c r="H22" s="38" t="s">
        <v>74</v>
      </c>
      <c r="I22" s="356" t="s">
        <v>76</v>
      </c>
      <c r="J22" s="357"/>
      <c r="K22" s="357"/>
      <c r="L22" s="357"/>
      <c r="M22" s="357"/>
      <c r="N22" s="358"/>
    </row>
    <row r="23" spans="2:14" ht="12.75">
      <c r="B23" s="4"/>
      <c r="C23" s="246" t="s">
        <v>686</v>
      </c>
      <c r="D23" s="247"/>
      <c r="E23" s="248">
        <f>MineCH4!A11</f>
        <v>0.00010572540008866026</v>
      </c>
      <c r="F23" s="246" t="s">
        <v>293</v>
      </c>
      <c r="G23" s="247"/>
      <c r="H23" s="314" t="s">
        <v>898</v>
      </c>
      <c r="I23" s="304" t="s">
        <v>892</v>
      </c>
      <c r="J23" s="40"/>
      <c r="K23" s="40"/>
      <c r="L23" s="40"/>
      <c r="M23" s="40"/>
      <c r="N23" s="41"/>
    </row>
    <row r="24" spans="2:14" ht="12.75">
      <c r="B24" s="4"/>
      <c r="C24" s="82" t="s">
        <v>687</v>
      </c>
      <c r="D24" s="31"/>
      <c r="E24" s="239">
        <f>PM!B52</f>
        <v>9.454627087077075E-05</v>
      </c>
      <c r="F24" s="82" t="s">
        <v>293</v>
      </c>
      <c r="G24" s="31"/>
      <c r="H24" s="250" t="s">
        <v>688</v>
      </c>
      <c r="I24" s="249" t="s">
        <v>689</v>
      </c>
      <c r="J24" s="40"/>
      <c r="K24" s="40"/>
      <c r="L24" s="40"/>
      <c r="M24" s="40"/>
      <c r="N24" s="41"/>
    </row>
    <row r="25" spans="2:14" ht="12.75">
      <c r="B25" s="4"/>
      <c r="C25" s="82" t="s">
        <v>690</v>
      </c>
      <c r="D25" s="31"/>
      <c r="E25" s="62">
        <f>Air_EFs!B104</f>
        <v>2.4900000000000002E-05</v>
      </c>
      <c r="F25" s="82" t="s">
        <v>293</v>
      </c>
      <c r="G25" s="31"/>
      <c r="H25" s="250">
        <v>14</v>
      </c>
      <c r="I25" s="305" t="s">
        <v>893</v>
      </c>
      <c r="J25" s="40"/>
      <c r="K25" s="40"/>
      <c r="L25" s="40"/>
      <c r="M25" s="40"/>
      <c r="N25" s="41"/>
    </row>
    <row r="26" spans="2:14" ht="12.75">
      <c r="B26" s="4"/>
      <c r="C26" s="82" t="s">
        <v>691</v>
      </c>
      <c r="D26" s="31"/>
      <c r="E26" s="62">
        <f>Air_EFs!B39</f>
        <v>3.4764826175869123E-07</v>
      </c>
      <c r="F26" s="82" t="s">
        <v>293</v>
      </c>
      <c r="G26" s="31"/>
      <c r="H26" s="250" t="s">
        <v>692</v>
      </c>
      <c r="I26" s="83" t="s">
        <v>693</v>
      </c>
      <c r="J26" s="40"/>
      <c r="K26" s="40"/>
      <c r="L26" s="40"/>
      <c r="M26" s="40"/>
      <c r="N26" s="41"/>
    </row>
    <row r="27" spans="2:14" ht="12.75">
      <c r="B27" s="4"/>
      <c r="C27" s="82" t="s">
        <v>694</v>
      </c>
      <c r="D27" s="31"/>
      <c r="E27" s="59">
        <f>Air_EFs!B11</f>
        <v>6.970896346340609E-12</v>
      </c>
      <c r="F27" s="82" t="s">
        <v>293</v>
      </c>
      <c r="G27" s="31"/>
      <c r="H27" s="250" t="s">
        <v>692</v>
      </c>
      <c r="I27" s="83" t="s">
        <v>695</v>
      </c>
      <c r="J27" s="40"/>
      <c r="K27" s="40"/>
      <c r="L27" s="40"/>
      <c r="M27" s="40"/>
      <c r="N27" s="41"/>
    </row>
    <row r="28" spans="2:14" ht="12.75">
      <c r="B28" s="4"/>
      <c r="C28" s="73" t="s">
        <v>696</v>
      </c>
      <c r="D28" s="74"/>
      <c r="E28" s="59">
        <f>Air_EFs!B14</f>
        <v>1.0661370882638615E-16</v>
      </c>
      <c r="F28" s="82" t="s">
        <v>293</v>
      </c>
      <c r="G28" s="31"/>
      <c r="H28" s="250" t="s">
        <v>692</v>
      </c>
      <c r="I28" s="83" t="s">
        <v>815</v>
      </c>
      <c r="J28" s="40"/>
      <c r="K28" s="40"/>
      <c r="L28" s="40"/>
      <c r="M28" s="40"/>
      <c r="N28" s="41"/>
    </row>
    <row r="29" spans="2:14" ht="12.75">
      <c r="B29" s="4"/>
      <c r="C29" s="73" t="s">
        <v>697</v>
      </c>
      <c r="D29" s="74"/>
      <c r="E29" s="59">
        <f>DieselUse_CO2!B12</f>
        <v>0.0008928357226170888</v>
      </c>
      <c r="F29" s="82" t="s">
        <v>293</v>
      </c>
      <c r="G29" s="31"/>
      <c r="H29" s="39">
        <v>7</v>
      </c>
      <c r="I29" s="83" t="s">
        <v>698</v>
      </c>
      <c r="J29" s="40"/>
      <c r="K29" s="40"/>
      <c r="L29" s="40"/>
      <c r="M29" s="40"/>
      <c r="N29" s="41"/>
    </row>
    <row r="30" spans="2:14" ht="12.75">
      <c r="B30" s="4"/>
      <c r="C30" s="73" t="s">
        <v>699</v>
      </c>
      <c r="D30" s="74"/>
      <c r="E30" s="251">
        <f>Elec_Use!A19</f>
        <v>0.0014027919402051752</v>
      </c>
      <c r="F30" s="82" t="s">
        <v>180</v>
      </c>
      <c r="G30" s="31"/>
      <c r="H30" s="39">
        <v>12</v>
      </c>
      <c r="I30" s="83" t="s">
        <v>700</v>
      </c>
      <c r="J30" s="40"/>
      <c r="K30" s="40"/>
      <c r="L30" s="40"/>
      <c r="M30" s="40"/>
      <c r="N30" s="41"/>
    </row>
    <row r="31" spans="2:14" ht="12.75">
      <c r="B31" s="4"/>
      <c r="C31" s="73" t="s">
        <v>701</v>
      </c>
      <c r="D31" s="74"/>
      <c r="E31" s="251">
        <f>DieselUse_CO2!B21</f>
        <v>3.146417445482866</v>
      </c>
      <c r="F31" s="82" t="s">
        <v>488</v>
      </c>
      <c r="G31" s="31"/>
      <c r="H31" s="39">
        <v>10</v>
      </c>
      <c r="I31" s="83" t="s">
        <v>816</v>
      </c>
      <c r="J31" s="40"/>
      <c r="K31" s="40"/>
      <c r="L31" s="40"/>
      <c r="M31" s="40"/>
      <c r="N31" s="41"/>
    </row>
    <row r="32" spans="2:14" ht="12.75">
      <c r="B32" s="4"/>
      <c r="C32" s="73" t="s">
        <v>702</v>
      </c>
      <c r="D32" s="73" t="s">
        <v>703</v>
      </c>
      <c r="E32" s="252">
        <f>E31*E29</f>
        <v>0.0028092338935927093</v>
      </c>
      <c r="F32" s="82" t="s">
        <v>293</v>
      </c>
      <c r="G32" s="31"/>
      <c r="H32" s="39"/>
      <c r="I32" s="83" t="s">
        <v>704</v>
      </c>
      <c r="J32" s="40"/>
      <c r="K32" s="40"/>
      <c r="L32" s="40"/>
      <c r="M32" s="40"/>
      <c r="N32" s="41"/>
    </row>
    <row r="33" spans="2:14" ht="12.75">
      <c r="B33" s="4"/>
      <c r="C33" s="82" t="s">
        <v>705</v>
      </c>
      <c r="D33" s="31"/>
      <c r="E33" s="239">
        <f>Air_EFs!B50</f>
        <v>2.996856483502775E-08</v>
      </c>
      <c r="F33" s="82" t="s">
        <v>488</v>
      </c>
      <c r="G33" s="31"/>
      <c r="H33" s="250"/>
      <c r="I33" s="83" t="s">
        <v>706</v>
      </c>
      <c r="J33" s="40"/>
      <c r="K33" s="40"/>
      <c r="L33" s="40"/>
      <c r="M33" s="40"/>
      <c r="N33" s="41"/>
    </row>
    <row r="34" spans="2:14" ht="12.75">
      <c r="B34" s="4"/>
      <c r="C34" s="82" t="s">
        <v>707</v>
      </c>
      <c r="D34" s="82" t="s">
        <v>708</v>
      </c>
      <c r="E34" s="239">
        <f>E33*E29</f>
        <v>2.675700524027908E-11</v>
      </c>
      <c r="F34" s="82" t="s">
        <v>293</v>
      </c>
      <c r="G34" s="31"/>
      <c r="H34" s="250"/>
      <c r="I34" s="83" t="s">
        <v>817</v>
      </c>
      <c r="J34" s="40"/>
      <c r="K34" s="40"/>
      <c r="L34" s="40"/>
      <c r="M34" s="40"/>
      <c r="N34" s="41"/>
    </row>
    <row r="35" spans="2:14" ht="12.75">
      <c r="B35" s="4"/>
      <c r="C35" s="73" t="s">
        <v>709</v>
      </c>
      <c r="D35" s="73"/>
      <c r="E35" s="251">
        <f>WaterConsumption!B11</f>
        <v>0.030346925248003063</v>
      </c>
      <c r="F35" s="82" t="s">
        <v>293</v>
      </c>
      <c r="G35" s="31"/>
      <c r="H35" s="39">
        <v>11</v>
      </c>
      <c r="I35" s="83" t="s">
        <v>710</v>
      </c>
      <c r="J35" s="40"/>
      <c r="K35" s="40"/>
      <c r="L35" s="40"/>
      <c r="M35" s="40"/>
      <c r="N35" s="41"/>
    </row>
    <row r="36" spans="2:14" ht="12.75">
      <c r="B36" s="4"/>
      <c r="C36" s="73" t="s">
        <v>711</v>
      </c>
      <c r="D36" s="74"/>
      <c r="E36" s="251">
        <f>WaterConsumption!B15</f>
        <v>0.04889993182007766</v>
      </c>
      <c r="F36" s="82" t="s">
        <v>293</v>
      </c>
      <c r="G36" s="31"/>
      <c r="H36" s="39">
        <v>11</v>
      </c>
      <c r="I36" s="83" t="s">
        <v>712</v>
      </c>
      <c r="J36" s="40"/>
      <c r="K36" s="40"/>
      <c r="L36" s="40"/>
      <c r="M36" s="40"/>
      <c r="N36" s="41"/>
    </row>
    <row r="37" spans="2:14" ht="12.75">
      <c r="B37" s="4"/>
      <c r="C37" s="73" t="s">
        <v>713</v>
      </c>
      <c r="D37" s="74"/>
      <c r="E37" s="251">
        <f>Air_EFs!B54</f>
        <v>0.00012947736078734428</v>
      </c>
      <c r="F37" s="82" t="s">
        <v>488</v>
      </c>
      <c r="G37" s="31"/>
      <c r="H37" s="39">
        <v>12</v>
      </c>
      <c r="I37" s="83" t="s">
        <v>818</v>
      </c>
      <c r="J37" s="40"/>
      <c r="K37" s="40"/>
      <c r="L37" s="40"/>
      <c r="M37" s="40"/>
      <c r="N37" s="41"/>
    </row>
    <row r="38" spans="2:14" ht="12.75">
      <c r="B38" s="4"/>
      <c r="C38" s="73" t="s">
        <v>714</v>
      </c>
      <c r="D38" s="73" t="s">
        <v>715</v>
      </c>
      <c r="E38" s="252">
        <f>E37*E29</f>
        <v>1.1560201298112204E-07</v>
      </c>
      <c r="F38" s="82" t="s">
        <v>293</v>
      </c>
      <c r="G38" s="31"/>
      <c r="H38" s="39"/>
      <c r="I38" s="83" t="s">
        <v>716</v>
      </c>
      <c r="J38" s="40"/>
      <c r="K38" s="40"/>
      <c r="L38" s="40"/>
      <c r="M38" s="40"/>
      <c r="N38" s="41"/>
    </row>
    <row r="39" spans="2:14" ht="12.75">
      <c r="B39" s="4"/>
      <c r="C39" s="73" t="s">
        <v>717</v>
      </c>
      <c r="D39" s="74"/>
      <c r="E39" s="251">
        <f>Air_EFs!B86</f>
        <v>1.5638095238095238E-10</v>
      </c>
      <c r="F39" s="82" t="s">
        <v>488</v>
      </c>
      <c r="G39" s="31"/>
      <c r="H39" s="39"/>
      <c r="I39" s="83" t="s">
        <v>819</v>
      </c>
      <c r="J39" s="40"/>
      <c r="K39" s="40"/>
      <c r="L39" s="40"/>
      <c r="M39" s="40"/>
      <c r="N39" s="41"/>
    </row>
    <row r="40" spans="2:14" ht="12.75">
      <c r="B40" s="4"/>
      <c r="C40" s="73" t="s">
        <v>718</v>
      </c>
      <c r="D40" s="73" t="s">
        <v>719</v>
      </c>
      <c r="E40" s="252">
        <f>E39*E29</f>
        <v>1.3962250062259618E-13</v>
      </c>
      <c r="F40" s="82" t="s">
        <v>293</v>
      </c>
      <c r="G40" s="31"/>
      <c r="H40" s="39">
        <v>13</v>
      </c>
      <c r="I40" s="83" t="s">
        <v>720</v>
      </c>
      <c r="J40" s="40"/>
      <c r="K40" s="40"/>
      <c r="L40" s="40"/>
      <c r="M40" s="40"/>
      <c r="N40" s="41"/>
    </row>
    <row r="41" spans="2:14" ht="12.75">
      <c r="B41" s="4"/>
      <c r="C41" s="73" t="s">
        <v>721</v>
      </c>
      <c r="D41" s="73"/>
      <c r="E41" s="252">
        <f>Explosives!A16</f>
        <v>0.0014544444444444444</v>
      </c>
      <c r="F41" s="82" t="s">
        <v>293</v>
      </c>
      <c r="G41" s="31"/>
      <c r="H41" s="250" t="s">
        <v>722</v>
      </c>
      <c r="I41" s="83" t="s">
        <v>723</v>
      </c>
      <c r="J41" s="40"/>
      <c r="K41" s="40"/>
      <c r="L41" s="40"/>
      <c r="M41" s="40"/>
      <c r="N41" s="41"/>
    </row>
    <row r="42" spans="2:14" ht="12.75">
      <c r="B42" s="4"/>
      <c r="C42" s="73" t="s">
        <v>724</v>
      </c>
      <c r="D42" s="73"/>
      <c r="E42" s="252">
        <f>Explosives!A17</f>
        <v>0.0001011111111111111</v>
      </c>
      <c r="F42" s="82" t="s">
        <v>293</v>
      </c>
      <c r="G42" s="31"/>
      <c r="H42" s="250" t="s">
        <v>722</v>
      </c>
      <c r="I42" s="83" t="s">
        <v>725</v>
      </c>
      <c r="J42" s="40"/>
      <c r="K42" s="40"/>
      <c r="L42" s="40"/>
      <c r="M42" s="40"/>
      <c r="N42" s="41"/>
    </row>
    <row r="43" spans="2:14" ht="12.75">
      <c r="B43" s="4"/>
      <c r="C43" s="73" t="s">
        <v>726</v>
      </c>
      <c r="D43" s="73"/>
      <c r="E43" s="252">
        <f>WaterEmissions!C6</f>
        <v>0.0006135937500000002</v>
      </c>
      <c r="F43" s="82" t="s">
        <v>292</v>
      </c>
      <c r="G43" s="31"/>
      <c r="H43" s="250">
        <v>15</v>
      </c>
      <c r="I43" s="83" t="s">
        <v>727</v>
      </c>
      <c r="J43" s="40"/>
      <c r="K43" s="40"/>
      <c r="L43" s="40"/>
      <c r="M43" s="40"/>
      <c r="N43" s="41"/>
    </row>
    <row r="44" spans="2:14" ht="12.75">
      <c r="B44" s="4"/>
      <c r="C44" s="73" t="s">
        <v>728</v>
      </c>
      <c r="D44" s="73"/>
      <c r="E44" s="252">
        <f>WaterEmissions!C7</f>
        <v>0.0018484375000000003</v>
      </c>
      <c r="F44" s="82" t="s">
        <v>292</v>
      </c>
      <c r="G44" s="31"/>
      <c r="H44" s="250">
        <v>15</v>
      </c>
      <c r="I44" s="83" t="s">
        <v>727</v>
      </c>
      <c r="J44" s="40"/>
      <c r="K44" s="40"/>
      <c r="L44" s="40"/>
      <c r="M44" s="40"/>
      <c r="N44" s="41"/>
    </row>
    <row r="45" spans="2:14" ht="12.75">
      <c r="B45" s="4"/>
      <c r="C45" s="73" t="s">
        <v>729</v>
      </c>
      <c r="D45" s="73"/>
      <c r="E45" s="252">
        <f>WaterEmissions!C8</f>
        <v>1.8281250000000007E-05</v>
      </c>
      <c r="F45" s="82" t="s">
        <v>292</v>
      </c>
      <c r="G45" s="31"/>
      <c r="H45" s="250">
        <v>15</v>
      </c>
      <c r="I45" s="83" t="s">
        <v>727</v>
      </c>
      <c r="J45" s="40"/>
      <c r="K45" s="40"/>
      <c r="L45" s="40"/>
      <c r="M45" s="40"/>
      <c r="N45" s="41"/>
    </row>
    <row r="46" spans="2:14" ht="12.75">
      <c r="B46" s="4"/>
      <c r="C46" s="73" t="s">
        <v>730</v>
      </c>
      <c r="D46" s="73"/>
      <c r="E46" s="252">
        <f>WaterEmissions!C9</f>
        <v>2.280303030303031E-06</v>
      </c>
      <c r="F46" s="82" t="s">
        <v>292</v>
      </c>
      <c r="G46" s="31"/>
      <c r="H46" s="250">
        <v>15</v>
      </c>
      <c r="I46" s="83" t="s">
        <v>727</v>
      </c>
      <c r="J46" s="40"/>
      <c r="K46" s="40"/>
      <c r="L46" s="40"/>
      <c r="M46" s="40"/>
      <c r="N46" s="41"/>
    </row>
    <row r="47" spans="2:14" ht="12.75">
      <c r="B47" s="4"/>
      <c r="C47" s="73" t="s">
        <v>731</v>
      </c>
      <c r="D47" s="73"/>
      <c r="E47" s="252">
        <f>WaterEmissions!C10</f>
        <v>0.8590625</v>
      </c>
      <c r="F47" s="82" t="s">
        <v>292</v>
      </c>
      <c r="G47" s="31"/>
      <c r="H47" s="250">
        <v>15</v>
      </c>
      <c r="I47" s="83" t="s">
        <v>727</v>
      </c>
      <c r="J47" s="40"/>
      <c r="K47" s="40"/>
      <c r="L47" s="40"/>
      <c r="M47" s="40"/>
      <c r="N47" s="41"/>
    </row>
    <row r="48" spans="2:14" ht="12.75">
      <c r="B48" s="4"/>
      <c r="C48" s="73" t="s">
        <v>732</v>
      </c>
      <c r="D48" s="73"/>
      <c r="E48" s="252">
        <f>WaterEmissions!C11</f>
        <v>1.7896944444444443</v>
      </c>
      <c r="F48" s="82" t="s">
        <v>292</v>
      </c>
      <c r="G48" s="31"/>
      <c r="H48" s="250">
        <v>15</v>
      </c>
      <c r="I48" s="83" t="s">
        <v>727</v>
      </c>
      <c r="J48" s="40"/>
      <c r="K48" s="40"/>
      <c r="L48" s="40"/>
      <c r="M48" s="40"/>
      <c r="N48" s="41"/>
    </row>
    <row r="49" spans="2:14" ht="12.75">
      <c r="B49" s="4"/>
      <c r="C49" s="73" t="s">
        <v>733</v>
      </c>
      <c r="D49" s="73"/>
      <c r="E49" s="252">
        <f>WaterEmissions!C12</f>
        <v>0.0525</v>
      </c>
      <c r="F49" s="82" t="s">
        <v>292</v>
      </c>
      <c r="G49" s="31"/>
      <c r="H49" s="250">
        <v>15</v>
      </c>
      <c r="I49" s="83" t="s">
        <v>727</v>
      </c>
      <c r="J49" s="40"/>
      <c r="K49" s="40"/>
      <c r="L49" s="40"/>
      <c r="M49" s="40"/>
      <c r="N49" s="41"/>
    </row>
    <row r="50" spans="2:14" ht="12.75">
      <c r="B50" s="4"/>
      <c r="C50" s="73" t="s">
        <v>734</v>
      </c>
      <c r="D50" s="73"/>
      <c r="E50" s="252">
        <f>WaterEmissions!C13</f>
        <v>5.069444444444444E-05</v>
      </c>
      <c r="F50" s="82" t="s">
        <v>292</v>
      </c>
      <c r="G50" s="31"/>
      <c r="H50" s="250">
        <v>15</v>
      </c>
      <c r="I50" s="83" t="s">
        <v>727</v>
      </c>
      <c r="J50" s="40"/>
      <c r="K50" s="40"/>
      <c r="L50" s="40"/>
      <c r="M50" s="40"/>
      <c r="N50" s="41"/>
    </row>
    <row r="51" spans="2:14" ht="12.75">
      <c r="B51" s="4"/>
      <c r="C51" s="73" t="s">
        <v>735</v>
      </c>
      <c r="D51" s="73"/>
      <c r="E51" s="252">
        <f>WaterEmissions!C14</f>
        <v>2.7083333333333334E-06</v>
      </c>
      <c r="F51" s="82" t="s">
        <v>292</v>
      </c>
      <c r="G51" s="31"/>
      <c r="H51" s="250">
        <v>15</v>
      </c>
      <c r="I51" s="83" t="s">
        <v>727</v>
      </c>
      <c r="J51" s="40"/>
      <c r="K51" s="40"/>
      <c r="L51" s="40"/>
      <c r="M51" s="40"/>
      <c r="N51" s="41"/>
    </row>
    <row r="52" spans="2:14" ht="12.75">
      <c r="B52" s="4"/>
      <c r="C52" s="73" t="s">
        <v>736</v>
      </c>
      <c r="D52" s="73"/>
      <c r="E52" s="252">
        <f>WaterEmissions!C15</f>
        <v>2.7500000000000008E-06</v>
      </c>
      <c r="F52" s="82" t="s">
        <v>292</v>
      </c>
      <c r="G52" s="31"/>
      <c r="H52" s="250">
        <v>15</v>
      </c>
      <c r="I52" s="83" t="s">
        <v>727</v>
      </c>
      <c r="J52" s="40"/>
      <c r="K52" s="40"/>
      <c r="L52" s="40"/>
      <c r="M52" s="40"/>
      <c r="N52" s="41"/>
    </row>
    <row r="53" spans="2:14" ht="12.75">
      <c r="B53" s="4"/>
      <c r="C53" s="73" t="s">
        <v>737</v>
      </c>
      <c r="D53" s="73"/>
      <c r="E53" s="252">
        <f>WaterEmissions!C16</f>
        <v>0.0008834174491392801</v>
      </c>
      <c r="F53" s="82" t="s">
        <v>292</v>
      </c>
      <c r="G53" s="31"/>
      <c r="H53" s="250">
        <v>15</v>
      </c>
      <c r="I53" s="83" t="s">
        <v>727</v>
      </c>
      <c r="J53" s="40"/>
      <c r="K53" s="40"/>
      <c r="L53" s="40"/>
      <c r="M53" s="40"/>
      <c r="N53" s="41"/>
    </row>
    <row r="54" spans="2:14" ht="12.75">
      <c r="B54" s="4"/>
      <c r="C54" s="73" t="s">
        <v>738</v>
      </c>
      <c r="D54" s="73"/>
      <c r="E54" s="252">
        <f>WaterEmissions!C17</f>
        <v>1.0937500000000005E-06</v>
      </c>
      <c r="F54" s="82" t="s">
        <v>292</v>
      </c>
      <c r="G54" s="31"/>
      <c r="H54" s="250">
        <v>15</v>
      </c>
      <c r="I54" s="83" t="s">
        <v>727</v>
      </c>
      <c r="J54" s="40"/>
      <c r="K54" s="40"/>
      <c r="L54" s="40"/>
      <c r="M54" s="40"/>
      <c r="N54" s="41"/>
    </row>
    <row r="55" spans="2:14" ht="12.75">
      <c r="B55" s="4"/>
      <c r="C55" s="73" t="s">
        <v>739</v>
      </c>
      <c r="D55" s="73"/>
      <c r="E55" s="252">
        <f>WaterEmissions!C18</f>
        <v>0.00024775</v>
      </c>
      <c r="F55" s="82" t="s">
        <v>292</v>
      </c>
      <c r="G55" s="31"/>
      <c r="H55" s="250">
        <v>15</v>
      </c>
      <c r="I55" s="83" t="s">
        <v>727</v>
      </c>
      <c r="J55" s="40"/>
      <c r="K55" s="40"/>
      <c r="L55" s="40"/>
      <c r="M55" s="40"/>
      <c r="N55" s="41"/>
    </row>
    <row r="56" spans="2:14" ht="12.75">
      <c r="B56" s="4"/>
      <c r="C56" s="73" t="s">
        <v>740</v>
      </c>
      <c r="D56" s="73"/>
      <c r="E56" s="252">
        <f>WaterEmissions!C19</f>
        <v>1E-05</v>
      </c>
      <c r="F56" s="82" t="s">
        <v>292</v>
      </c>
      <c r="G56" s="31"/>
      <c r="H56" s="250">
        <v>15</v>
      </c>
      <c r="I56" s="83" t="s">
        <v>727</v>
      </c>
      <c r="J56" s="40"/>
      <c r="K56" s="40"/>
      <c r="L56" s="40"/>
      <c r="M56" s="40"/>
      <c r="N56" s="41"/>
    </row>
    <row r="57" spans="2:14" ht="12.75">
      <c r="B57" s="4"/>
      <c r="C57" s="73" t="s">
        <v>741</v>
      </c>
      <c r="D57" s="73" t="s">
        <v>742</v>
      </c>
      <c r="E57" s="252">
        <f>E43*$E$36</f>
        <v>3.0004692540225785E-05</v>
      </c>
      <c r="F57" s="82" t="s">
        <v>293</v>
      </c>
      <c r="G57" s="31"/>
      <c r="H57" s="250"/>
      <c r="I57" s="83" t="s">
        <v>743</v>
      </c>
      <c r="J57" s="40"/>
      <c r="K57" s="40"/>
      <c r="L57" s="40"/>
      <c r="M57" s="40"/>
      <c r="N57" s="41"/>
    </row>
    <row r="58" spans="2:14" ht="12.75">
      <c r="B58" s="4"/>
      <c r="C58" s="73" t="s">
        <v>744</v>
      </c>
      <c r="D58" s="73" t="s">
        <v>745</v>
      </c>
      <c r="E58" s="252">
        <f aca="true" t="shared" si="0" ref="E58:E70">E44*$E$36</f>
        <v>9.038846772367482E-05</v>
      </c>
      <c r="F58" s="82" t="s">
        <v>293</v>
      </c>
      <c r="G58" s="31"/>
      <c r="H58" s="250"/>
      <c r="I58" s="83" t="s">
        <v>743</v>
      </c>
      <c r="J58" s="40"/>
      <c r="K58" s="40"/>
      <c r="L58" s="40"/>
      <c r="M58" s="40"/>
      <c r="N58" s="41"/>
    </row>
    <row r="59" spans="2:14" ht="12.75">
      <c r="B59" s="4"/>
      <c r="C59" s="73" t="s">
        <v>746</v>
      </c>
      <c r="D59" s="73" t="s">
        <v>747</v>
      </c>
      <c r="E59" s="252">
        <f t="shared" si="0"/>
        <v>8.93951878585795E-07</v>
      </c>
      <c r="F59" s="82" t="s">
        <v>293</v>
      </c>
      <c r="G59" s="31"/>
      <c r="H59" s="250"/>
      <c r="I59" s="83" t="s">
        <v>743</v>
      </c>
      <c r="J59" s="40"/>
      <c r="K59" s="40"/>
      <c r="L59" s="40"/>
      <c r="M59" s="40"/>
      <c r="N59" s="41"/>
    </row>
    <row r="60" spans="2:14" ht="12.75">
      <c r="B60" s="4"/>
      <c r="C60" s="73" t="s">
        <v>748</v>
      </c>
      <c r="D60" s="73" t="s">
        <v>749</v>
      </c>
      <c r="E60" s="252">
        <f t="shared" si="0"/>
        <v>1.115066627109347E-07</v>
      </c>
      <c r="F60" s="82" t="s">
        <v>293</v>
      </c>
      <c r="G60" s="31"/>
      <c r="H60" s="250"/>
      <c r="I60" s="83" t="s">
        <v>743</v>
      </c>
      <c r="J60" s="40"/>
      <c r="K60" s="40"/>
      <c r="L60" s="40"/>
      <c r="M60" s="40"/>
      <c r="N60" s="41"/>
    </row>
    <row r="61" spans="2:14" ht="12.75">
      <c r="B61" s="4"/>
      <c r="C61" s="73" t="s">
        <v>750</v>
      </c>
      <c r="D61" s="73" t="s">
        <v>751</v>
      </c>
      <c r="E61" s="252">
        <f t="shared" si="0"/>
        <v>0.04200809767918546</v>
      </c>
      <c r="F61" s="82" t="s">
        <v>293</v>
      </c>
      <c r="G61" s="31"/>
      <c r="H61" s="250"/>
      <c r="I61" s="83" t="s">
        <v>743</v>
      </c>
      <c r="J61" s="40"/>
      <c r="K61" s="40"/>
      <c r="L61" s="40"/>
      <c r="M61" s="40"/>
      <c r="N61" s="41"/>
    </row>
    <row r="62" spans="2:14" ht="12.75">
      <c r="B62" s="4"/>
      <c r="C62" s="73" t="s">
        <v>752</v>
      </c>
      <c r="D62" s="73" t="s">
        <v>753</v>
      </c>
      <c r="E62" s="252">
        <f t="shared" si="0"/>
        <v>0.0875159363121051</v>
      </c>
      <c r="F62" s="82" t="s">
        <v>293</v>
      </c>
      <c r="G62" s="31"/>
      <c r="H62" s="250"/>
      <c r="I62" s="83" t="s">
        <v>743</v>
      </c>
      <c r="J62" s="40"/>
      <c r="K62" s="40"/>
      <c r="L62" s="40"/>
      <c r="M62" s="40"/>
      <c r="N62" s="41"/>
    </row>
    <row r="63" spans="2:14" ht="12.75">
      <c r="B63" s="4"/>
      <c r="C63" s="73" t="s">
        <v>754</v>
      </c>
      <c r="D63" s="73" t="s">
        <v>755</v>
      </c>
      <c r="E63" s="252">
        <f t="shared" si="0"/>
        <v>0.002567246420554077</v>
      </c>
      <c r="F63" s="82" t="s">
        <v>293</v>
      </c>
      <c r="G63" s="31"/>
      <c r="H63" s="250"/>
      <c r="I63" s="83" t="s">
        <v>743</v>
      </c>
      <c r="J63" s="40"/>
      <c r="K63" s="40"/>
      <c r="L63" s="40"/>
      <c r="M63" s="40"/>
      <c r="N63" s="41"/>
    </row>
    <row r="64" spans="2:14" ht="12.75">
      <c r="B64" s="4"/>
      <c r="C64" s="73" t="s">
        <v>756</v>
      </c>
      <c r="D64" s="73" t="s">
        <v>757</v>
      </c>
      <c r="E64" s="252">
        <f t="shared" si="0"/>
        <v>2.478954876990048E-06</v>
      </c>
      <c r="F64" s="82" t="s">
        <v>293</v>
      </c>
      <c r="G64" s="31"/>
      <c r="H64" s="250"/>
      <c r="I64" s="83" t="s">
        <v>743</v>
      </c>
      <c r="J64" s="40"/>
      <c r="K64" s="40"/>
      <c r="L64" s="40"/>
      <c r="M64" s="40"/>
      <c r="N64" s="41"/>
    </row>
    <row r="65" spans="2:14" ht="12.75">
      <c r="B65" s="4"/>
      <c r="C65" s="73" t="s">
        <v>758</v>
      </c>
      <c r="D65" s="73" t="s">
        <v>759</v>
      </c>
      <c r="E65" s="252">
        <f t="shared" si="0"/>
        <v>1.3243731534604365E-07</v>
      </c>
      <c r="F65" s="82" t="s">
        <v>293</v>
      </c>
      <c r="G65" s="31"/>
      <c r="H65" s="250"/>
      <c r="I65" s="83" t="s">
        <v>743</v>
      </c>
      <c r="J65" s="40"/>
      <c r="K65" s="40"/>
      <c r="L65" s="40"/>
      <c r="M65" s="40"/>
      <c r="N65" s="41"/>
    </row>
    <row r="66" spans="2:14" ht="12.75">
      <c r="B66" s="4"/>
      <c r="C66" s="73" t="s">
        <v>760</v>
      </c>
      <c r="D66" s="73" t="s">
        <v>761</v>
      </c>
      <c r="E66" s="252">
        <f t="shared" si="0"/>
        <v>1.344748125052136E-07</v>
      </c>
      <c r="F66" s="82" t="s">
        <v>293</v>
      </c>
      <c r="G66" s="31"/>
      <c r="H66" s="250"/>
      <c r="I66" s="83" t="s">
        <v>743</v>
      </c>
      <c r="J66" s="40"/>
      <c r="K66" s="40"/>
      <c r="L66" s="40"/>
      <c r="M66" s="40"/>
      <c r="N66" s="41"/>
    </row>
    <row r="67" spans="2:14" ht="12.75">
      <c r="B67" s="4"/>
      <c r="C67" s="73" t="s">
        <v>762</v>
      </c>
      <c r="D67" s="73" t="s">
        <v>763</v>
      </c>
      <c r="E67" s="252">
        <f t="shared" si="0"/>
        <v>4.3199053031577716E-05</v>
      </c>
      <c r="F67" s="82" t="s">
        <v>293</v>
      </c>
      <c r="G67" s="31"/>
      <c r="H67" s="250"/>
      <c r="I67" s="83" t="s">
        <v>743</v>
      </c>
      <c r="J67" s="40"/>
      <c r="K67" s="40"/>
      <c r="L67" s="40"/>
      <c r="M67" s="40"/>
      <c r="N67" s="41"/>
    </row>
    <row r="68" spans="2:14" ht="12.75">
      <c r="B68" s="4"/>
      <c r="C68" s="73" t="s">
        <v>764</v>
      </c>
      <c r="D68" s="73" t="s">
        <v>765</v>
      </c>
      <c r="E68" s="252">
        <f t="shared" si="0"/>
        <v>5.348430042820996E-08</v>
      </c>
      <c r="F68" s="82" t="s">
        <v>293</v>
      </c>
      <c r="G68" s="31"/>
      <c r="H68" s="250"/>
      <c r="I68" s="83" t="s">
        <v>743</v>
      </c>
      <c r="J68" s="40"/>
      <c r="K68" s="40"/>
      <c r="L68" s="40"/>
      <c r="M68" s="40"/>
      <c r="N68" s="41"/>
    </row>
    <row r="69" spans="2:14" ht="12.75">
      <c r="B69" s="4"/>
      <c r="C69" s="73" t="s">
        <v>766</v>
      </c>
      <c r="D69" s="73" t="s">
        <v>767</v>
      </c>
      <c r="E69" s="252">
        <f t="shared" si="0"/>
        <v>1.2114958108424239E-05</v>
      </c>
      <c r="F69" s="82" t="s">
        <v>293</v>
      </c>
      <c r="G69" s="31"/>
      <c r="H69" s="250"/>
      <c r="I69" s="83" t="s">
        <v>743</v>
      </c>
      <c r="J69" s="40"/>
      <c r="K69" s="40"/>
      <c r="L69" s="40"/>
      <c r="M69" s="40"/>
      <c r="N69" s="41"/>
    </row>
    <row r="70" spans="2:14" ht="12.75">
      <c r="B70" s="4"/>
      <c r="C70" s="73" t="s">
        <v>768</v>
      </c>
      <c r="D70" s="73" t="s">
        <v>769</v>
      </c>
      <c r="E70" s="252">
        <f t="shared" si="0"/>
        <v>4.889993182007766E-07</v>
      </c>
      <c r="F70" s="82" t="s">
        <v>293</v>
      </c>
      <c r="G70" s="31"/>
      <c r="H70" s="250"/>
      <c r="I70" s="83" t="s">
        <v>743</v>
      </c>
      <c r="J70" s="40"/>
      <c r="K70" s="40"/>
      <c r="L70" s="40"/>
      <c r="M70" s="40"/>
      <c r="N70" s="41"/>
    </row>
    <row r="71" spans="2:14" ht="12.75">
      <c r="B71" s="4"/>
      <c r="C71" s="31"/>
      <c r="D71" s="31"/>
      <c r="E71" s="31"/>
      <c r="F71" s="31"/>
      <c r="G71" s="31"/>
      <c r="H71" s="39"/>
      <c r="I71" s="40"/>
      <c r="J71" s="40"/>
      <c r="K71" s="40"/>
      <c r="L71" s="40"/>
      <c r="M71" s="40"/>
      <c r="N71" s="41"/>
    </row>
    <row r="72" spans="2:14" ht="12.75">
      <c r="B72" s="4"/>
      <c r="C72" s="22" t="s">
        <v>75</v>
      </c>
      <c r="D72" s="21" t="s">
        <v>79</v>
      </c>
      <c r="E72" s="21"/>
      <c r="F72" s="21"/>
      <c r="G72" s="21"/>
      <c r="H72" s="44"/>
      <c r="I72" s="42"/>
      <c r="J72" s="42"/>
      <c r="K72" s="42"/>
      <c r="L72" s="42"/>
      <c r="M72" s="42"/>
      <c r="N72" s="43"/>
    </row>
    <row r="73" spans="2:14" ht="13.5" thickBot="1">
      <c r="B73" s="4"/>
      <c r="C73" s="5"/>
      <c r="D73" s="5"/>
      <c r="E73" s="5"/>
      <c r="F73" s="5"/>
      <c r="G73" s="5"/>
      <c r="H73" s="5"/>
      <c r="J73" s="5"/>
      <c r="K73" s="5"/>
      <c r="L73" s="5"/>
      <c r="M73" s="5"/>
      <c r="N73" s="5"/>
    </row>
    <row r="74" spans="1:23" s="2" customFormat="1" ht="13.5" thickBot="1">
      <c r="A74" s="6"/>
      <c r="B74" s="351" t="s">
        <v>96</v>
      </c>
      <c r="C74" s="352"/>
      <c r="D74" s="352"/>
      <c r="E74" s="352"/>
      <c r="F74" s="352"/>
      <c r="G74" s="352"/>
      <c r="H74" s="352"/>
      <c r="I74" s="352"/>
      <c r="J74" s="352"/>
      <c r="K74" s="352"/>
      <c r="L74" s="352"/>
      <c r="M74" s="352"/>
      <c r="N74" s="353"/>
      <c r="O74" s="6"/>
      <c r="P74" s="6"/>
      <c r="Q74" s="6"/>
      <c r="R74" s="6"/>
      <c r="S74" s="6"/>
      <c r="T74" s="6"/>
      <c r="U74" s="6"/>
      <c r="V74" s="6"/>
      <c r="W74" s="6"/>
    </row>
    <row r="75" spans="2:14" ht="12.75">
      <c r="B75" s="4"/>
      <c r="C75" s="5"/>
      <c r="D75" s="5"/>
      <c r="E75" s="5"/>
      <c r="F75" s="5"/>
      <c r="G75" s="5"/>
      <c r="H75" s="89" t="s">
        <v>235</v>
      </c>
      <c r="J75" s="5"/>
      <c r="K75" s="5"/>
      <c r="L75" s="5"/>
      <c r="M75" s="5"/>
      <c r="N75" s="5"/>
    </row>
    <row r="76" spans="2:14" ht="12.75">
      <c r="B76" s="4"/>
      <c r="C76" s="3" t="s">
        <v>102</v>
      </c>
      <c r="D76" s="3" t="s">
        <v>107</v>
      </c>
      <c r="E76" s="3" t="s">
        <v>100</v>
      </c>
      <c r="F76" s="3" t="s">
        <v>108</v>
      </c>
      <c r="G76" s="3" t="s">
        <v>102</v>
      </c>
      <c r="H76" s="3" t="s">
        <v>104</v>
      </c>
      <c r="I76" s="3" t="s">
        <v>81</v>
      </c>
      <c r="J76" s="3" t="s">
        <v>80</v>
      </c>
      <c r="K76" s="3" t="s">
        <v>105</v>
      </c>
      <c r="L76" s="3" t="s">
        <v>106</v>
      </c>
      <c r="M76" s="3" t="s">
        <v>74</v>
      </c>
      <c r="N76" s="3" t="s">
        <v>76</v>
      </c>
    </row>
    <row r="77" spans="2:14" ht="12.75">
      <c r="B77" s="4"/>
      <c r="C77" s="32" t="s">
        <v>721</v>
      </c>
      <c r="D77" s="73" t="s">
        <v>770</v>
      </c>
      <c r="E77" s="32">
        <v>1</v>
      </c>
      <c r="F77" s="65" t="s">
        <v>169</v>
      </c>
      <c r="G77" s="35">
        <f aca="true" t="shared" si="1" ref="G77:G82">IF($C77="",1,VLOOKUP($C77,$C$22:$H$72,3,FALSE))</f>
        <v>0.0014544444444444444</v>
      </c>
      <c r="H77" s="35" t="str">
        <f>IF($C77="","",VLOOKUP($C77,$C$22:$H$72,4,FALSE))</f>
        <v>kg/kg coal</v>
      </c>
      <c r="I77" s="260">
        <f>IF(D77="","",E77*G77*$D$5)</f>
        <v>0.0014544444444444444</v>
      </c>
      <c r="J77" s="258" t="s">
        <v>169</v>
      </c>
      <c r="K77" s="33" t="s">
        <v>154</v>
      </c>
      <c r="L77" s="32" t="s">
        <v>124</v>
      </c>
      <c r="M77" s="253" t="s">
        <v>722</v>
      </c>
      <c r="N77" s="75" t="s">
        <v>773</v>
      </c>
    </row>
    <row r="78" spans="2:14" ht="12.75">
      <c r="B78" s="4"/>
      <c r="C78" s="32" t="s">
        <v>697</v>
      </c>
      <c r="D78" s="74" t="s">
        <v>220</v>
      </c>
      <c r="E78" s="32">
        <v>1</v>
      </c>
      <c r="F78" s="32" t="s">
        <v>169</v>
      </c>
      <c r="G78" s="36">
        <f t="shared" si="1"/>
        <v>0.0008928357226170888</v>
      </c>
      <c r="H78" s="35" t="str">
        <f>IF($C78="","",VLOOKUP($C78,$C$22:$H$72,4,FALSE))</f>
        <v>kg/kg coal</v>
      </c>
      <c r="I78" s="260">
        <f>IF(D78="","",E78*G78*$D$5)</f>
        <v>0.0008928357226170888</v>
      </c>
      <c r="J78" s="258" t="s">
        <v>169</v>
      </c>
      <c r="K78" s="33" t="s">
        <v>154</v>
      </c>
      <c r="L78" s="32" t="s">
        <v>124</v>
      </c>
      <c r="M78" s="253">
        <v>7</v>
      </c>
      <c r="N78" s="152" t="s">
        <v>774</v>
      </c>
    </row>
    <row r="79" spans="2:14" ht="12.75">
      <c r="B79" s="4"/>
      <c r="C79" s="32" t="s">
        <v>724</v>
      </c>
      <c r="D79" s="73" t="s">
        <v>771</v>
      </c>
      <c r="E79" s="32">
        <v>1</v>
      </c>
      <c r="F79" s="65" t="s">
        <v>169</v>
      </c>
      <c r="G79" s="35">
        <f t="shared" si="1"/>
        <v>0.0001011111111111111</v>
      </c>
      <c r="H79" s="35" t="str">
        <f>IF($C79="","",VLOOKUP($C79,$C$22:$H$72,4,FALSE))</f>
        <v>kg/kg coal</v>
      </c>
      <c r="I79" s="260">
        <f>IF(D79="","",E79*G79*$D$5)</f>
        <v>0.0001011111111111111</v>
      </c>
      <c r="J79" s="259" t="s">
        <v>169</v>
      </c>
      <c r="K79" s="33" t="s">
        <v>154</v>
      </c>
      <c r="L79" s="32" t="s">
        <v>124</v>
      </c>
      <c r="M79" s="254" t="s">
        <v>772</v>
      </c>
      <c r="N79" s="75" t="s">
        <v>775</v>
      </c>
    </row>
    <row r="80" spans="2:14" ht="12.75">
      <c r="B80" s="4"/>
      <c r="C80" s="32" t="s">
        <v>699</v>
      </c>
      <c r="D80" s="73" t="s">
        <v>221</v>
      </c>
      <c r="E80" s="32">
        <v>1</v>
      </c>
      <c r="F80" s="65" t="s">
        <v>168</v>
      </c>
      <c r="G80" s="35">
        <f t="shared" si="1"/>
        <v>0.0014027919402051752</v>
      </c>
      <c r="H80" s="35" t="str">
        <f>IF($C80="","",VLOOKUP($C80,$C$22:$H$72,4,FALSE))</f>
        <v>kWh/kg coal</v>
      </c>
      <c r="I80" s="260">
        <f>IF(D80="","",E80*G80*$D$5)</f>
        <v>0.0014027919402051752</v>
      </c>
      <c r="J80" s="259" t="s">
        <v>168</v>
      </c>
      <c r="K80" s="33" t="s">
        <v>154</v>
      </c>
      <c r="L80" s="32" t="s">
        <v>124</v>
      </c>
      <c r="M80" s="34">
        <v>12</v>
      </c>
      <c r="N80" s="75" t="s">
        <v>776</v>
      </c>
    </row>
    <row r="81" spans="2:14" ht="12.75">
      <c r="B81" s="4"/>
      <c r="C81" s="32" t="s">
        <v>709</v>
      </c>
      <c r="D81" s="74" t="s">
        <v>222</v>
      </c>
      <c r="E81" s="32">
        <v>1</v>
      </c>
      <c r="F81" s="65" t="s">
        <v>169</v>
      </c>
      <c r="G81" s="35">
        <f t="shared" si="1"/>
        <v>0.030346925248003063</v>
      </c>
      <c r="H81" s="35" t="str">
        <f>IF($C81="","",VLOOKUP($C81,$C$22:$H$72,4,FALSE))</f>
        <v>kg/kg coal</v>
      </c>
      <c r="I81" s="260">
        <f>IF(D81="","",E81*G81*$D$5)</f>
        <v>0.030346925248003063</v>
      </c>
      <c r="J81" s="259" t="s">
        <v>169</v>
      </c>
      <c r="K81" s="33"/>
      <c r="L81" s="32" t="s">
        <v>124</v>
      </c>
      <c r="M81" s="34">
        <v>11</v>
      </c>
      <c r="N81" s="75" t="s">
        <v>777</v>
      </c>
    </row>
    <row r="82" spans="2:14" ht="12.75">
      <c r="B82" s="4"/>
      <c r="C82" s="32"/>
      <c r="D82" s="32"/>
      <c r="E82" s="32"/>
      <c r="F82" s="32"/>
      <c r="G82" s="35">
        <f t="shared" si="1"/>
        <v>1</v>
      </c>
      <c r="H82" s="35"/>
      <c r="I82" s="35"/>
      <c r="J82" s="32"/>
      <c r="K82" s="33"/>
      <c r="L82" s="32"/>
      <c r="M82" s="34"/>
      <c r="N82" s="34"/>
    </row>
    <row r="83" spans="2:14" ht="12.75">
      <c r="B83" s="4"/>
      <c r="C83" s="25" t="s">
        <v>75</v>
      </c>
      <c r="D83" s="26" t="s">
        <v>77</v>
      </c>
      <c r="E83" s="27" t="s">
        <v>103</v>
      </c>
      <c r="F83" s="26"/>
      <c r="G83" s="26"/>
      <c r="H83" s="26"/>
      <c r="I83" s="27" t="s">
        <v>82</v>
      </c>
      <c r="J83" s="26"/>
      <c r="K83" s="27"/>
      <c r="L83" s="26" t="s">
        <v>127</v>
      </c>
      <c r="M83" s="24"/>
      <c r="N83" s="24"/>
    </row>
    <row r="84" s="5" customFormat="1" ht="13.5" thickBot="1">
      <c r="B84" s="4"/>
    </row>
    <row r="85" spans="1:23" s="2" customFormat="1" ht="13.5" thickBot="1">
      <c r="A85" s="6"/>
      <c r="B85" s="351" t="s">
        <v>97</v>
      </c>
      <c r="C85" s="352"/>
      <c r="D85" s="352"/>
      <c r="E85" s="352"/>
      <c r="F85" s="352"/>
      <c r="G85" s="352"/>
      <c r="H85" s="352"/>
      <c r="I85" s="352"/>
      <c r="J85" s="352"/>
      <c r="K85" s="352"/>
      <c r="L85" s="352"/>
      <c r="M85" s="352"/>
      <c r="N85" s="353"/>
      <c r="O85" s="6"/>
      <c r="P85" s="6"/>
      <c r="Q85" s="6"/>
      <c r="R85" s="6"/>
      <c r="S85" s="6"/>
      <c r="T85" s="6"/>
      <c r="U85" s="6"/>
      <c r="V85" s="6"/>
      <c r="W85" s="6"/>
    </row>
    <row r="86" spans="2:14" ht="12.75">
      <c r="B86" s="4"/>
      <c r="C86" s="5"/>
      <c r="D86" s="5"/>
      <c r="E86" s="5"/>
      <c r="F86" s="5"/>
      <c r="G86" s="5"/>
      <c r="H86" s="89" t="s">
        <v>236</v>
      </c>
      <c r="J86" s="5"/>
      <c r="K86" s="5"/>
      <c r="L86" s="5"/>
      <c r="M86" s="5"/>
      <c r="N86" s="5"/>
    </row>
    <row r="87" spans="2:14" ht="12.75">
      <c r="B87" s="4"/>
      <c r="C87" s="3" t="s">
        <v>102</v>
      </c>
      <c r="D87" s="3" t="s">
        <v>107</v>
      </c>
      <c r="E87" s="3" t="s">
        <v>100</v>
      </c>
      <c r="F87" s="3" t="s">
        <v>108</v>
      </c>
      <c r="G87" s="3" t="s">
        <v>102</v>
      </c>
      <c r="H87" s="3" t="s">
        <v>104</v>
      </c>
      <c r="I87" s="3" t="s">
        <v>81</v>
      </c>
      <c r="J87" s="3" t="s">
        <v>80</v>
      </c>
      <c r="K87" s="3" t="s">
        <v>105</v>
      </c>
      <c r="L87" s="3" t="s">
        <v>106</v>
      </c>
      <c r="M87" s="3" t="s">
        <v>74</v>
      </c>
      <c r="N87" s="3" t="s">
        <v>76</v>
      </c>
    </row>
    <row r="88" spans="2:14" ht="12.75">
      <c r="B88" s="4"/>
      <c r="C88" s="32"/>
      <c r="D88" s="74" t="str">
        <f>G5</f>
        <v>Southern Appalachia Bituminous Coal</v>
      </c>
      <c r="E88" s="32">
        <v>1</v>
      </c>
      <c r="F88" s="32" t="s">
        <v>169</v>
      </c>
      <c r="G88" s="35">
        <f aca="true" t="shared" si="2" ref="G88:G113">IF($C88="",1,VLOOKUP($C88,$C$22:$H$72,3,FALSE))</f>
        <v>1</v>
      </c>
      <c r="H88" s="35">
        <f aca="true" t="shared" si="3" ref="H88:H113">IF($C88="","",VLOOKUP($C88,$C$22:$H$72,4,FALSE))</f>
      </c>
      <c r="I88" s="35">
        <f>IF(D88="","",E88*G88*$D$5)</f>
        <v>1</v>
      </c>
      <c r="J88" s="32" t="s">
        <v>169</v>
      </c>
      <c r="K88" s="33" t="s">
        <v>154</v>
      </c>
      <c r="L88" s="32"/>
      <c r="M88" s="34"/>
      <c r="N88" s="75" t="s">
        <v>201</v>
      </c>
    </row>
    <row r="89" spans="2:14" ht="12.75">
      <c r="B89" s="4"/>
      <c r="C89" s="32"/>
      <c r="D89" s="32"/>
      <c r="E89" s="32"/>
      <c r="F89" s="32"/>
      <c r="G89" s="35">
        <f t="shared" si="2"/>
        <v>1</v>
      </c>
      <c r="H89" s="35">
        <f t="shared" si="3"/>
      </c>
      <c r="I89" s="35">
        <f>IF(D89="","",E89*G89*$D$5)</f>
      </c>
      <c r="J89" s="32"/>
      <c r="K89" s="33"/>
      <c r="L89" s="32"/>
      <c r="M89" s="34"/>
      <c r="N89" s="34"/>
    </row>
    <row r="90" spans="2:14" ht="12.75">
      <c r="B90" s="4"/>
      <c r="C90" s="255" t="s">
        <v>702</v>
      </c>
      <c r="D90" s="255" t="s">
        <v>223</v>
      </c>
      <c r="E90" s="32">
        <v>1</v>
      </c>
      <c r="F90" s="32" t="s">
        <v>169</v>
      </c>
      <c r="G90" s="35">
        <f t="shared" si="2"/>
        <v>0.0028092338935927093</v>
      </c>
      <c r="H90" s="35" t="str">
        <f t="shared" si="3"/>
        <v>kg/kg coal</v>
      </c>
      <c r="I90" s="260">
        <f>IF(D90="","",E90*G90*$D$5)</f>
        <v>0.0028092338935927093</v>
      </c>
      <c r="J90" s="255" t="str">
        <f aca="true" t="shared" si="4" ref="J90:J113">IF(H90="",F90,H90)</f>
        <v>kg/kg coal</v>
      </c>
      <c r="K90" s="33"/>
      <c r="L90" s="32" t="s">
        <v>124</v>
      </c>
      <c r="M90" s="34">
        <f>H31</f>
        <v>10</v>
      </c>
      <c r="N90" s="75" t="s">
        <v>228</v>
      </c>
    </row>
    <row r="91" spans="2:14" ht="12.75">
      <c r="B91" s="4"/>
      <c r="C91" s="255" t="s">
        <v>694</v>
      </c>
      <c r="D91" s="255" t="s">
        <v>226</v>
      </c>
      <c r="E91" s="32">
        <v>1</v>
      </c>
      <c r="F91" s="32" t="s">
        <v>169</v>
      </c>
      <c r="G91" s="35">
        <f t="shared" si="2"/>
        <v>6.970896346340609E-12</v>
      </c>
      <c r="H91" s="35" t="str">
        <f t="shared" si="3"/>
        <v>kg/kg coal</v>
      </c>
      <c r="I91" s="260">
        <f aca="true" t="shared" si="5" ref="I91:I113">IF(D91="","",E91*G91*$D$5)</f>
        <v>6.970896346340609E-12</v>
      </c>
      <c r="J91" s="255" t="str">
        <f t="shared" si="4"/>
        <v>kg/kg coal</v>
      </c>
      <c r="K91" s="33"/>
      <c r="L91" s="32" t="s">
        <v>124</v>
      </c>
      <c r="M91" s="34" t="str">
        <f>H27</f>
        <v>4,5,6,7,8,9</v>
      </c>
      <c r="N91" s="75" t="s">
        <v>228</v>
      </c>
    </row>
    <row r="92" spans="2:14" ht="12.75">
      <c r="B92" s="4"/>
      <c r="C92" s="255" t="s">
        <v>686</v>
      </c>
      <c r="D92" s="255" t="s">
        <v>224</v>
      </c>
      <c r="E92" s="32">
        <v>1</v>
      </c>
      <c r="F92" s="32" t="s">
        <v>169</v>
      </c>
      <c r="G92" s="35">
        <f t="shared" si="2"/>
        <v>0.00010572540008866026</v>
      </c>
      <c r="H92" s="35" t="str">
        <f t="shared" si="3"/>
        <v>kg/kg coal</v>
      </c>
      <c r="I92" s="260">
        <f t="shared" si="5"/>
        <v>0.00010572540008866026</v>
      </c>
      <c r="J92" s="255" t="str">
        <f t="shared" si="4"/>
        <v>kg/kg coal</v>
      </c>
      <c r="K92" s="33"/>
      <c r="L92" s="32" t="s">
        <v>124</v>
      </c>
      <c r="M92" s="34" t="str">
        <f>H23</f>
        <v>2, 20</v>
      </c>
      <c r="N92" s="75" t="s">
        <v>228</v>
      </c>
    </row>
    <row r="93" spans="2:14" ht="12.75">
      <c r="B93" s="4"/>
      <c r="C93" s="82" t="s">
        <v>690</v>
      </c>
      <c r="D93" s="255" t="s">
        <v>778</v>
      </c>
      <c r="E93" s="32">
        <v>1</v>
      </c>
      <c r="F93" s="32" t="s">
        <v>169</v>
      </c>
      <c r="G93" s="35">
        <f t="shared" si="2"/>
        <v>2.4900000000000002E-05</v>
      </c>
      <c r="H93" s="35" t="str">
        <f t="shared" si="3"/>
        <v>kg/kg coal</v>
      </c>
      <c r="I93" s="260">
        <f t="shared" si="5"/>
        <v>2.4900000000000002E-05</v>
      </c>
      <c r="J93" s="255" t="str">
        <f t="shared" si="4"/>
        <v>kg/kg coal</v>
      </c>
      <c r="K93" s="33"/>
      <c r="L93" s="32" t="s">
        <v>124</v>
      </c>
      <c r="M93" s="34">
        <f>H25</f>
        <v>14</v>
      </c>
      <c r="N93" s="75" t="s">
        <v>228</v>
      </c>
    </row>
    <row r="94" spans="2:14" ht="12.75">
      <c r="B94" s="4"/>
      <c r="C94" s="255" t="s">
        <v>707</v>
      </c>
      <c r="D94" s="255" t="s">
        <v>779</v>
      </c>
      <c r="E94" s="32">
        <v>1</v>
      </c>
      <c r="F94" s="32" t="s">
        <v>169</v>
      </c>
      <c r="G94" s="35">
        <f t="shared" si="2"/>
        <v>2.675700524027908E-11</v>
      </c>
      <c r="H94" s="35" t="str">
        <f t="shared" si="3"/>
        <v>kg/kg coal</v>
      </c>
      <c r="I94" s="260">
        <f t="shared" si="5"/>
        <v>2.675700524027908E-11</v>
      </c>
      <c r="J94" s="255" t="str">
        <f t="shared" si="4"/>
        <v>kg/kg coal</v>
      </c>
      <c r="K94" s="33"/>
      <c r="L94" s="32" t="s">
        <v>124</v>
      </c>
      <c r="M94" s="34"/>
      <c r="N94" s="75" t="s">
        <v>228</v>
      </c>
    </row>
    <row r="95" spans="2:14" ht="12.75">
      <c r="B95" s="4"/>
      <c r="C95" s="255" t="s">
        <v>687</v>
      </c>
      <c r="D95" s="255" t="s">
        <v>225</v>
      </c>
      <c r="E95" s="32">
        <v>1</v>
      </c>
      <c r="F95" s="32" t="s">
        <v>169</v>
      </c>
      <c r="G95" s="35">
        <f t="shared" si="2"/>
        <v>9.454627087077075E-05</v>
      </c>
      <c r="H95" s="35" t="str">
        <f t="shared" si="3"/>
        <v>kg/kg coal</v>
      </c>
      <c r="I95" s="260">
        <f t="shared" si="5"/>
        <v>9.454627087077075E-05</v>
      </c>
      <c r="J95" s="255" t="str">
        <f t="shared" si="4"/>
        <v>kg/kg coal</v>
      </c>
      <c r="K95" s="33"/>
      <c r="L95" s="32" t="s">
        <v>124</v>
      </c>
      <c r="M95" s="34" t="str">
        <f>H24</f>
        <v>3,4</v>
      </c>
      <c r="N95" s="75" t="s">
        <v>228</v>
      </c>
    </row>
    <row r="96" spans="2:14" ht="12.75">
      <c r="B96" s="4"/>
      <c r="C96" s="255" t="s">
        <v>691</v>
      </c>
      <c r="D96" s="255" t="s">
        <v>780</v>
      </c>
      <c r="E96" s="32">
        <v>1</v>
      </c>
      <c r="F96" s="32" t="s">
        <v>169</v>
      </c>
      <c r="G96" s="35">
        <f t="shared" si="2"/>
        <v>3.4764826175869123E-07</v>
      </c>
      <c r="H96" s="35" t="str">
        <f t="shared" si="3"/>
        <v>kg/kg coal</v>
      </c>
      <c r="I96" s="260">
        <f t="shared" si="5"/>
        <v>3.4764826175869123E-07</v>
      </c>
      <c r="J96" s="255" t="str">
        <f t="shared" si="4"/>
        <v>kg/kg coal</v>
      </c>
      <c r="K96" s="33"/>
      <c r="L96" s="32" t="s">
        <v>124</v>
      </c>
      <c r="M96" s="34" t="str">
        <f>H26</f>
        <v>4,5,6,7,8,9</v>
      </c>
      <c r="N96" s="75" t="s">
        <v>228</v>
      </c>
    </row>
    <row r="97" spans="2:14" ht="12.75">
      <c r="B97" s="4"/>
      <c r="C97" s="256" t="s">
        <v>718</v>
      </c>
      <c r="D97" s="32" t="s">
        <v>230</v>
      </c>
      <c r="E97" s="32">
        <v>1</v>
      </c>
      <c r="F97" s="32" t="s">
        <v>169</v>
      </c>
      <c r="G97" s="35">
        <f t="shared" si="2"/>
        <v>1.3962250062259618E-13</v>
      </c>
      <c r="H97" s="35" t="str">
        <f t="shared" si="3"/>
        <v>kg/kg coal</v>
      </c>
      <c r="I97" s="260">
        <f t="shared" si="5"/>
        <v>1.3962250062259618E-13</v>
      </c>
      <c r="J97" s="255" t="str">
        <f t="shared" si="4"/>
        <v>kg/kg coal</v>
      </c>
      <c r="K97" s="33"/>
      <c r="L97" s="32" t="s">
        <v>124</v>
      </c>
      <c r="M97" s="34">
        <f>H40</f>
        <v>13</v>
      </c>
      <c r="N97" s="75" t="s">
        <v>228</v>
      </c>
    </row>
    <row r="98" spans="2:14" ht="12.75">
      <c r="B98" s="4"/>
      <c r="C98" s="256" t="s">
        <v>714</v>
      </c>
      <c r="D98" s="32" t="s">
        <v>231</v>
      </c>
      <c r="E98" s="32">
        <v>1</v>
      </c>
      <c r="F98" s="32" t="s">
        <v>169</v>
      </c>
      <c r="G98" s="35">
        <f t="shared" si="2"/>
        <v>1.1560201298112204E-07</v>
      </c>
      <c r="H98" s="35" t="str">
        <f t="shared" si="3"/>
        <v>kg/kg coal</v>
      </c>
      <c r="I98" s="260">
        <f t="shared" si="5"/>
        <v>1.1560201298112204E-07</v>
      </c>
      <c r="J98" s="255" t="str">
        <f t="shared" si="4"/>
        <v>kg/kg coal</v>
      </c>
      <c r="K98" s="33"/>
      <c r="L98" s="32" t="s">
        <v>124</v>
      </c>
      <c r="M98" s="34">
        <f>H37</f>
        <v>12</v>
      </c>
      <c r="N98" s="75" t="s">
        <v>228</v>
      </c>
    </row>
    <row r="99" spans="2:14" ht="12.75">
      <c r="B99" s="4"/>
      <c r="C99" s="255" t="s">
        <v>741</v>
      </c>
      <c r="D99" s="255" t="s">
        <v>781</v>
      </c>
      <c r="E99" s="32">
        <v>1</v>
      </c>
      <c r="F99" s="32" t="s">
        <v>169</v>
      </c>
      <c r="G99" s="35">
        <f t="shared" si="2"/>
        <v>3.0004692540225785E-05</v>
      </c>
      <c r="H99" s="35" t="str">
        <f t="shared" si="3"/>
        <v>kg/kg coal</v>
      </c>
      <c r="I99" s="260">
        <f t="shared" si="5"/>
        <v>3.0004692540225785E-05</v>
      </c>
      <c r="J99" s="255" t="str">
        <f t="shared" si="4"/>
        <v>kg/kg coal</v>
      </c>
      <c r="K99" s="33"/>
      <c r="L99" s="32" t="s">
        <v>124</v>
      </c>
      <c r="M99" s="250">
        <v>15</v>
      </c>
      <c r="N99" s="75" t="s">
        <v>228</v>
      </c>
    </row>
    <row r="100" spans="2:14" ht="12.75">
      <c r="B100" s="4"/>
      <c r="C100" s="256" t="str">
        <f>C58</f>
        <v>E_w_N</v>
      </c>
      <c r="D100" s="255" t="s">
        <v>782</v>
      </c>
      <c r="E100" s="32">
        <v>1</v>
      </c>
      <c r="F100" s="65" t="s">
        <v>169</v>
      </c>
      <c r="G100" s="35">
        <f t="shared" si="2"/>
        <v>9.038846772367482E-05</v>
      </c>
      <c r="H100" s="35" t="str">
        <f t="shared" si="3"/>
        <v>kg/kg coal</v>
      </c>
      <c r="I100" s="260">
        <f t="shared" si="5"/>
        <v>9.038846772367482E-05</v>
      </c>
      <c r="J100" s="255" t="str">
        <f t="shared" si="4"/>
        <v>kg/kg coal</v>
      </c>
      <c r="K100" s="33"/>
      <c r="L100" s="32" t="s">
        <v>124</v>
      </c>
      <c r="M100" s="250">
        <v>15</v>
      </c>
      <c r="N100" s="75" t="s">
        <v>229</v>
      </c>
    </row>
    <row r="101" spans="2:14" ht="12.75">
      <c r="B101" s="4"/>
      <c r="C101" s="256" t="str">
        <f>C59</f>
        <v>E_w_P</v>
      </c>
      <c r="D101" s="255" t="s">
        <v>783</v>
      </c>
      <c r="E101" s="32">
        <v>1</v>
      </c>
      <c r="F101" s="65" t="s">
        <v>169</v>
      </c>
      <c r="G101" s="35">
        <f t="shared" si="2"/>
        <v>8.93951878585795E-07</v>
      </c>
      <c r="H101" s="35" t="str">
        <f t="shared" si="3"/>
        <v>kg/kg coal</v>
      </c>
      <c r="I101" s="260">
        <f t="shared" si="5"/>
        <v>8.93951878585795E-07</v>
      </c>
      <c r="J101" s="255" t="str">
        <f t="shared" si="4"/>
        <v>kg/kg coal</v>
      </c>
      <c r="K101" s="33"/>
      <c r="L101" s="32" t="s">
        <v>124</v>
      </c>
      <c r="M101" s="250">
        <v>15</v>
      </c>
      <c r="N101" s="75" t="s">
        <v>229</v>
      </c>
    </row>
    <row r="102" spans="2:14" ht="12.75">
      <c r="B102" s="4"/>
      <c r="C102" s="256" t="str">
        <f>C64</f>
        <v>E_w_Al</v>
      </c>
      <c r="D102" s="255" t="s">
        <v>784</v>
      </c>
      <c r="E102" s="32">
        <v>1</v>
      </c>
      <c r="F102" s="65" t="s">
        <v>169</v>
      </c>
      <c r="G102" s="35">
        <f t="shared" si="2"/>
        <v>2.478954876990048E-06</v>
      </c>
      <c r="H102" s="35" t="str">
        <f t="shared" si="3"/>
        <v>kg/kg coal</v>
      </c>
      <c r="I102" s="260">
        <f t="shared" si="5"/>
        <v>2.478954876990048E-06</v>
      </c>
      <c r="J102" s="255" t="str">
        <f t="shared" si="4"/>
        <v>kg/kg coal</v>
      </c>
      <c r="K102" s="33"/>
      <c r="L102" s="32" t="s">
        <v>124</v>
      </c>
      <c r="M102" s="250">
        <v>15</v>
      </c>
      <c r="N102" s="75" t="s">
        <v>229</v>
      </c>
    </row>
    <row r="103" spans="2:14" ht="12.75">
      <c r="B103" s="4"/>
      <c r="C103" s="256" t="str">
        <f>C60</f>
        <v>E_w_Selenium</v>
      </c>
      <c r="D103" s="256" t="s">
        <v>785</v>
      </c>
      <c r="E103" s="32">
        <v>1</v>
      </c>
      <c r="F103" s="65" t="s">
        <v>169</v>
      </c>
      <c r="G103" s="35">
        <f t="shared" si="2"/>
        <v>1.115066627109347E-07</v>
      </c>
      <c r="H103" s="35" t="str">
        <f t="shared" si="3"/>
        <v>kg/kg coal</v>
      </c>
      <c r="I103" s="260">
        <f t="shared" si="5"/>
        <v>1.115066627109347E-07</v>
      </c>
      <c r="J103" s="255" t="str">
        <f t="shared" si="4"/>
        <v>kg/kg coal</v>
      </c>
      <c r="K103" s="33"/>
      <c r="L103" s="32" t="s">
        <v>124</v>
      </c>
      <c r="M103" s="250">
        <v>15</v>
      </c>
      <c r="N103" s="75" t="s">
        <v>229</v>
      </c>
    </row>
    <row r="104" spans="2:14" ht="12.75">
      <c r="B104" s="4"/>
      <c r="C104" s="73" t="str">
        <f>C61</f>
        <v>E_w_SO4</v>
      </c>
      <c r="D104" s="256" t="s">
        <v>786</v>
      </c>
      <c r="E104" s="32">
        <v>1</v>
      </c>
      <c r="F104" s="65" t="s">
        <v>169</v>
      </c>
      <c r="G104" s="35">
        <f t="shared" si="2"/>
        <v>0.04200809767918546</v>
      </c>
      <c r="H104" s="35" t="str">
        <f t="shared" si="3"/>
        <v>kg/kg coal</v>
      </c>
      <c r="I104" s="260">
        <f t="shared" si="5"/>
        <v>0.04200809767918546</v>
      </c>
      <c r="J104" s="255" t="str">
        <f t="shared" si="4"/>
        <v>kg/kg coal</v>
      </c>
      <c r="K104" s="33"/>
      <c r="L104" s="32" t="s">
        <v>124</v>
      </c>
      <c r="M104" s="250">
        <v>15</v>
      </c>
      <c r="N104" s="75" t="s">
        <v>229</v>
      </c>
    </row>
    <row r="105" spans="2:14" ht="12.75">
      <c r="B105" s="4"/>
      <c r="C105" s="73" t="s">
        <v>752</v>
      </c>
      <c r="D105" s="256" t="s">
        <v>787</v>
      </c>
      <c r="E105" s="32">
        <v>1</v>
      </c>
      <c r="F105" s="65" t="s">
        <v>169</v>
      </c>
      <c r="G105" s="35">
        <f t="shared" si="2"/>
        <v>0.0875159363121051</v>
      </c>
      <c r="H105" s="35" t="str">
        <f t="shared" si="3"/>
        <v>kg/kg coal</v>
      </c>
      <c r="I105" s="260">
        <f t="shared" si="5"/>
        <v>0.0875159363121051</v>
      </c>
      <c r="J105" s="255" t="str">
        <f t="shared" si="4"/>
        <v>kg/kg coal</v>
      </c>
      <c r="K105" s="33"/>
      <c r="L105" s="32" t="s">
        <v>124</v>
      </c>
      <c r="M105" s="250">
        <v>15</v>
      </c>
      <c r="N105" s="75" t="s">
        <v>229</v>
      </c>
    </row>
    <row r="106" spans="2:14" ht="12.75">
      <c r="B106" s="4"/>
      <c r="C106" s="73" t="s">
        <v>754</v>
      </c>
      <c r="D106" s="256" t="s">
        <v>788</v>
      </c>
      <c r="E106" s="32">
        <v>1</v>
      </c>
      <c r="F106" s="65" t="s">
        <v>169</v>
      </c>
      <c r="G106" s="35">
        <f t="shared" si="2"/>
        <v>0.002567246420554077</v>
      </c>
      <c r="H106" s="35" t="str">
        <f t="shared" si="3"/>
        <v>kg/kg coal</v>
      </c>
      <c r="I106" s="260">
        <f t="shared" si="5"/>
        <v>0.002567246420554077</v>
      </c>
      <c r="J106" s="255" t="str">
        <f t="shared" si="4"/>
        <v>kg/kg coal</v>
      </c>
      <c r="K106" s="33"/>
      <c r="L106" s="32" t="s">
        <v>124</v>
      </c>
      <c r="M106" s="250">
        <v>15</v>
      </c>
      <c r="N106" s="75" t="s">
        <v>229</v>
      </c>
    </row>
    <row r="107" spans="2:14" ht="12.75">
      <c r="B107" s="4"/>
      <c r="C107" s="73" t="s">
        <v>758</v>
      </c>
      <c r="D107" s="256" t="s">
        <v>789</v>
      </c>
      <c r="E107" s="32">
        <v>1</v>
      </c>
      <c r="F107" s="65" t="s">
        <v>169</v>
      </c>
      <c r="G107" s="35">
        <f t="shared" si="2"/>
        <v>1.3243731534604365E-07</v>
      </c>
      <c r="H107" s="35" t="str">
        <f t="shared" si="3"/>
        <v>kg/kg coal</v>
      </c>
      <c r="I107" s="260">
        <f t="shared" si="5"/>
        <v>1.3243731534604365E-07</v>
      </c>
      <c r="J107" s="255" t="str">
        <f t="shared" si="4"/>
        <v>kg/kg coal</v>
      </c>
      <c r="K107" s="33"/>
      <c r="L107" s="32" t="s">
        <v>124</v>
      </c>
      <c r="M107" s="250">
        <v>15</v>
      </c>
      <c r="N107" s="75" t="s">
        <v>229</v>
      </c>
    </row>
    <row r="108" spans="2:14" ht="12.75">
      <c r="B108" s="4"/>
      <c r="C108" s="73" t="s">
        <v>760</v>
      </c>
      <c r="D108" s="256" t="s">
        <v>790</v>
      </c>
      <c r="E108" s="32">
        <v>1</v>
      </c>
      <c r="F108" s="65" t="s">
        <v>169</v>
      </c>
      <c r="G108" s="35">
        <f t="shared" si="2"/>
        <v>1.344748125052136E-07</v>
      </c>
      <c r="H108" s="35" t="str">
        <f t="shared" si="3"/>
        <v>kg/kg coal</v>
      </c>
      <c r="I108" s="260">
        <f t="shared" si="5"/>
        <v>1.344748125052136E-07</v>
      </c>
      <c r="J108" s="255" t="str">
        <f t="shared" si="4"/>
        <v>kg/kg coal</v>
      </c>
      <c r="K108" s="33"/>
      <c r="L108" s="32" t="s">
        <v>124</v>
      </c>
      <c r="M108" s="250">
        <v>15</v>
      </c>
      <c r="N108" s="75" t="s">
        <v>229</v>
      </c>
    </row>
    <row r="109" spans="2:14" ht="12.75">
      <c r="B109" s="4"/>
      <c r="C109" s="73" t="s">
        <v>762</v>
      </c>
      <c r="D109" s="256" t="s">
        <v>227</v>
      </c>
      <c r="E109" s="32">
        <v>1</v>
      </c>
      <c r="F109" s="65" t="s">
        <v>169</v>
      </c>
      <c r="G109" s="35">
        <f t="shared" si="2"/>
        <v>4.3199053031577716E-05</v>
      </c>
      <c r="H109" s="35" t="str">
        <f t="shared" si="3"/>
        <v>kg/kg coal</v>
      </c>
      <c r="I109" s="260">
        <f t="shared" si="5"/>
        <v>4.3199053031577716E-05</v>
      </c>
      <c r="J109" s="255" t="str">
        <f t="shared" si="4"/>
        <v>kg/kg coal</v>
      </c>
      <c r="K109" s="33"/>
      <c r="L109" s="32" t="s">
        <v>124</v>
      </c>
      <c r="M109" s="250">
        <v>15</v>
      </c>
      <c r="N109" s="75" t="s">
        <v>229</v>
      </c>
    </row>
    <row r="110" spans="2:14" ht="12.75">
      <c r="B110" s="4"/>
      <c r="C110" s="73" t="s">
        <v>764</v>
      </c>
      <c r="D110" s="256" t="s">
        <v>791</v>
      </c>
      <c r="E110" s="32">
        <v>1</v>
      </c>
      <c r="F110" s="65" t="s">
        <v>169</v>
      </c>
      <c r="G110" s="35">
        <f t="shared" si="2"/>
        <v>5.348430042820996E-08</v>
      </c>
      <c r="H110" s="35" t="str">
        <f t="shared" si="3"/>
        <v>kg/kg coal</v>
      </c>
      <c r="I110" s="260">
        <f t="shared" si="5"/>
        <v>5.348430042820996E-08</v>
      </c>
      <c r="J110" s="255" t="str">
        <f t="shared" si="4"/>
        <v>kg/kg coal</v>
      </c>
      <c r="K110" s="33"/>
      <c r="L110" s="32" t="s">
        <v>124</v>
      </c>
      <c r="M110" s="250">
        <v>15</v>
      </c>
      <c r="N110" s="75" t="s">
        <v>229</v>
      </c>
    </row>
    <row r="111" spans="2:14" ht="12.75">
      <c r="B111" s="4"/>
      <c r="C111" s="73" t="s">
        <v>766</v>
      </c>
      <c r="D111" s="256" t="s">
        <v>792</v>
      </c>
      <c r="E111" s="32">
        <v>1</v>
      </c>
      <c r="F111" s="65" t="s">
        <v>169</v>
      </c>
      <c r="G111" s="35">
        <f t="shared" si="2"/>
        <v>1.2114958108424239E-05</v>
      </c>
      <c r="H111" s="35" t="str">
        <f t="shared" si="3"/>
        <v>kg/kg coal</v>
      </c>
      <c r="I111" s="260">
        <f t="shared" si="5"/>
        <v>1.2114958108424239E-05</v>
      </c>
      <c r="J111" s="255" t="str">
        <f t="shared" si="4"/>
        <v>kg/kg coal</v>
      </c>
      <c r="K111" s="33"/>
      <c r="L111" s="32" t="s">
        <v>124</v>
      </c>
      <c r="M111" s="250">
        <v>15</v>
      </c>
      <c r="N111" s="75" t="s">
        <v>229</v>
      </c>
    </row>
    <row r="112" spans="2:14" ht="12.75">
      <c r="B112" s="4"/>
      <c r="C112" s="73" t="s">
        <v>768</v>
      </c>
      <c r="D112" s="256" t="s">
        <v>793</v>
      </c>
      <c r="E112" s="32">
        <v>1</v>
      </c>
      <c r="F112" s="65" t="s">
        <v>169</v>
      </c>
      <c r="G112" s="35">
        <f t="shared" si="2"/>
        <v>4.889993182007766E-07</v>
      </c>
      <c r="H112" s="35" t="str">
        <f t="shared" si="3"/>
        <v>kg/kg coal</v>
      </c>
      <c r="I112" s="260">
        <f t="shared" si="5"/>
        <v>4.889993182007766E-07</v>
      </c>
      <c r="J112" s="255" t="str">
        <f t="shared" si="4"/>
        <v>kg/kg coal</v>
      </c>
      <c r="K112" s="33"/>
      <c r="L112" s="32" t="s">
        <v>124</v>
      </c>
      <c r="M112" s="250">
        <v>15</v>
      </c>
      <c r="N112" s="75" t="s">
        <v>229</v>
      </c>
    </row>
    <row r="113" spans="2:14" ht="12.75">
      <c r="B113" s="4"/>
      <c r="C113" s="73" t="s">
        <v>711</v>
      </c>
      <c r="D113" s="256" t="s">
        <v>794</v>
      </c>
      <c r="E113" s="32">
        <v>1</v>
      </c>
      <c r="F113" s="65" t="s">
        <v>169</v>
      </c>
      <c r="G113" s="35">
        <f t="shared" si="2"/>
        <v>0.04889993182007766</v>
      </c>
      <c r="H113" s="35" t="str">
        <f t="shared" si="3"/>
        <v>kg/kg coal</v>
      </c>
      <c r="I113" s="260">
        <f t="shared" si="5"/>
        <v>0.04889993182007766</v>
      </c>
      <c r="J113" s="255" t="str">
        <f t="shared" si="4"/>
        <v>kg/kg coal</v>
      </c>
      <c r="K113" s="33"/>
      <c r="L113" s="32" t="s">
        <v>124</v>
      </c>
      <c r="M113" s="250">
        <v>15</v>
      </c>
      <c r="N113" s="75" t="s">
        <v>229</v>
      </c>
    </row>
    <row r="114" spans="2:14" ht="12.75">
      <c r="B114" s="4"/>
      <c r="C114" s="256"/>
      <c r="D114" s="255"/>
      <c r="E114" s="32"/>
      <c r="F114" s="65"/>
      <c r="G114" s="35"/>
      <c r="H114" s="35"/>
      <c r="I114" s="35"/>
      <c r="J114" s="65"/>
      <c r="K114" s="33"/>
      <c r="L114" s="32"/>
      <c r="M114" s="34"/>
      <c r="N114" s="75"/>
    </row>
    <row r="115" spans="2:14" ht="12.75">
      <c r="B115" s="4"/>
      <c r="C115" s="25" t="s">
        <v>75</v>
      </c>
      <c r="D115" s="64" t="s">
        <v>77</v>
      </c>
      <c r="E115" s="27" t="s">
        <v>103</v>
      </c>
      <c r="F115" s="26"/>
      <c r="G115" s="37"/>
      <c r="H115" s="37"/>
      <c r="I115" s="37"/>
      <c r="J115" s="26"/>
      <c r="K115" s="27"/>
      <c r="L115" s="26" t="s">
        <v>127</v>
      </c>
      <c r="M115" s="24"/>
      <c r="N115" s="24"/>
    </row>
    <row r="116" spans="2:14" ht="12.75">
      <c r="B116" s="4"/>
      <c r="C116" s="5"/>
      <c r="D116" s="5"/>
      <c r="E116" s="5"/>
      <c r="F116" s="5"/>
      <c r="G116" s="5"/>
      <c r="H116" s="5"/>
      <c r="J116" s="5"/>
      <c r="K116" s="5"/>
      <c r="L116" s="5"/>
      <c r="M116" s="5"/>
      <c r="N116" s="5"/>
    </row>
    <row r="117" spans="2:14" ht="12.75">
      <c r="B117" s="4"/>
      <c r="C117" s="5"/>
      <c r="D117" s="5"/>
      <c r="E117" s="5"/>
      <c r="F117" s="5"/>
      <c r="G117" s="5"/>
      <c r="H117" s="5"/>
      <c r="J117" s="5"/>
      <c r="K117" s="5"/>
      <c r="L117" s="5"/>
      <c r="M117" s="5"/>
      <c r="N117" s="5"/>
    </row>
    <row r="118" spans="2:14" ht="12.75">
      <c r="B118" s="4"/>
      <c r="C118" s="5"/>
      <c r="D118" s="5"/>
      <c r="E118" s="5"/>
      <c r="F118" s="5"/>
      <c r="G118" s="5"/>
      <c r="H118" s="5"/>
      <c r="J118" s="5"/>
      <c r="K118" s="5"/>
      <c r="L118" s="5"/>
      <c r="M118" s="5"/>
      <c r="N118" s="5"/>
    </row>
    <row r="119" spans="2:14" ht="12.75">
      <c r="B119" s="4"/>
      <c r="C119" s="5"/>
      <c r="D119" s="5"/>
      <c r="E119" s="5"/>
      <c r="F119" s="5"/>
      <c r="G119" s="5"/>
      <c r="H119" s="5"/>
      <c r="J119" s="5"/>
      <c r="K119" s="5"/>
      <c r="L119" s="5"/>
      <c r="M119" s="5"/>
      <c r="N119" s="5"/>
    </row>
    <row r="120" spans="2:14" ht="12.75">
      <c r="B120" s="4"/>
      <c r="C120" s="5"/>
      <c r="D120" s="5"/>
      <c r="E120" s="5"/>
      <c r="F120" s="5"/>
      <c r="G120" s="5"/>
      <c r="H120" s="5"/>
      <c r="J120" s="5"/>
      <c r="K120" s="5"/>
      <c r="L120" s="5"/>
      <c r="M120" s="5"/>
      <c r="N120" s="5"/>
    </row>
    <row r="121" spans="2:14" ht="12.75">
      <c r="B121" s="4"/>
      <c r="C121" s="5"/>
      <c r="D121" s="5"/>
      <c r="E121" s="5"/>
      <c r="F121" s="5"/>
      <c r="G121" s="5"/>
      <c r="H121" s="5"/>
      <c r="J121" s="5"/>
      <c r="K121" s="5"/>
      <c r="L121" s="5"/>
      <c r="M121" s="5"/>
      <c r="N121" s="5"/>
    </row>
    <row r="122" spans="2:14" ht="12.75">
      <c r="B122" s="4"/>
      <c r="C122" s="5"/>
      <c r="D122" s="5"/>
      <c r="E122" s="5"/>
      <c r="F122" s="5"/>
      <c r="G122" s="5"/>
      <c r="H122" s="5"/>
      <c r="J122" s="5"/>
      <c r="K122" s="5"/>
      <c r="L122" s="5"/>
      <c r="M122" s="5"/>
      <c r="N122" s="5"/>
    </row>
    <row r="123" spans="2:14" ht="12.75">
      <c r="B123" s="4"/>
      <c r="C123" s="5"/>
      <c r="D123" s="5"/>
      <c r="E123" s="5"/>
      <c r="F123" s="5"/>
      <c r="G123" s="5"/>
      <c r="H123" s="5"/>
      <c r="J123" s="5"/>
      <c r="K123" s="5"/>
      <c r="L123" s="5"/>
      <c r="M123" s="5"/>
      <c r="N123" s="5"/>
    </row>
    <row r="124" spans="2:14" ht="12.75">
      <c r="B124" s="4"/>
      <c r="C124" s="5"/>
      <c r="D124" s="5"/>
      <c r="E124" s="5"/>
      <c r="F124" s="5"/>
      <c r="G124" s="5"/>
      <c r="H124" s="5"/>
      <c r="J124" s="5"/>
      <c r="K124" s="5"/>
      <c r="L124" s="5"/>
      <c r="M124" s="5"/>
      <c r="N124" s="5"/>
    </row>
    <row r="125" spans="2:14" ht="12.75">
      <c r="B125" s="4"/>
      <c r="C125" s="5"/>
      <c r="D125" s="5"/>
      <c r="E125" s="5"/>
      <c r="F125" s="5"/>
      <c r="G125" s="5"/>
      <c r="H125" s="5"/>
      <c r="J125" s="5"/>
      <c r="K125" s="5"/>
      <c r="L125" s="5"/>
      <c r="M125" s="5"/>
      <c r="N125" s="5"/>
    </row>
    <row r="126" spans="2:14" ht="12.75">
      <c r="B126" s="4"/>
      <c r="C126" s="5"/>
      <c r="D126" s="5"/>
      <c r="E126" s="5"/>
      <c r="F126" s="5"/>
      <c r="G126" s="5"/>
      <c r="H126" s="5"/>
      <c r="J126" s="5"/>
      <c r="K126" s="5"/>
      <c r="L126" s="5"/>
      <c r="M126" s="5"/>
      <c r="N126" s="5"/>
    </row>
    <row r="127" spans="2:14" ht="12.75">
      <c r="B127" s="4"/>
      <c r="C127" s="5"/>
      <c r="D127" s="5"/>
      <c r="E127" s="5"/>
      <c r="F127" s="5"/>
      <c r="G127" s="5"/>
      <c r="H127" s="5"/>
      <c r="J127" s="5"/>
      <c r="K127" s="5"/>
      <c r="L127" s="5"/>
      <c r="M127" s="5"/>
      <c r="N127" s="5"/>
    </row>
    <row r="128" spans="2:14" ht="12.75">
      <c r="B128" s="4"/>
      <c r="C128" s="5"/>
      <c r="D128" s="5"/>
      <c r="E128" s="5"/>
      <c r="F128" s="5"/>
      <c r="G128" s="5"/>
      <c r="H128" s="5"/>
      <c r="J128" s="5"/>
      <c r="K128" s="5"/>
      <c r="L128" s="5"/>
      <c r="M128" s="5"/>
      <c r="N128" s="5"/>
    </row>
    <row r="129" spans="2:14" ht="12.75">
      <c r="B129" s="4"/>
      <c r="C129" s="5"/>
      <c r="D129" s="5"/>
      <c r="E129" s="5"/>
      <c r="F129" s="5"/>
      <c r="G129" s="5"/>
      <c r="H129" s="5"/>
      <c r="J129" s="5"/>
      <c r="K129" s="5"/>
      <c r="L129" s="5"/>
      <c r="M129" s="5"/>
      <c r="N129" s="5"/>
    </row>
    <row r="130" spans="2:14" ht="12.75">
      <c r="B130" s="4"/>
      <c r="C130" s="5"/>
      <c r="D130" s="5"/>
      <c r="E130" s="5"/>
      <c r="F130" s="5"/>
      <c r="G130" s="5"/>
      <c r="H130" s="5"/>
      <c r="J130" s="5"/>
      <c r="K130" s="5"/>
      <c r="L130" s="5"/>
      <c r="M130" s="5"/>
      <c r="N130" s="5"/>
    </row>
    <row r="131" spans="2:14" ht="12.75">
      <c r="B131" s="4"/>
      <c r="C131" s="5"/>
      <c r="D131" s="5"/>
      <c r="E131" s="5"/>
      <c r="F131" s="5"/>
      <c r="G131" s="5"/>
      <c r="H131" s="5"/>
      <c r="J131" s="5"/>
      <c r="K131" s="5"/>
      <c r="L131" s="5"/>
      <c r="M131" s="5"/>
      <c r="N131" s="5"/>
    </row>
    <row r="132" spans="2:14" ht="12.75">
      <c r="B132" s="4"/>
      <c r="C132" s="5"/>
      <c r="D132" s="5"/>
      <c r="E132" s="5"/>
      <c r="F132" s="5"/>
      <c r="G132" s="5"/>
      <c r="H132" s="5"/>
      <c r="J132" s="5"/>
      <c r="K132" s="5"/>
      <c r="L132" s="5"/>
      <c r="M132" s="5"/>
      <c r="N132" s="5"/>
    </row>
    <row r="133" spans="2:14" ht="12.75">
      <c r="B133" s="4"/>
      <c r="C133" s="5"/>
      <c r="D133" s="5"/>
      <c r="E133" s="5"/>
      <c r="F133" s="5"/>
      <c r="G133" s="5"/>
      <c r="H133" s="5"/>
      <c r="J133" s="5"/>
      <c r="K133" s="5"/>
      <c r="L133" s="5"/>
      <c r="M133" s="5"/>
      <c r="N133" s="5"/>
    </row>
    <row r="134" spans="2:14" ht="12.75">
      <c r="B134" s="4"/>
      <c r="C134" s="5"/>
      <c r="D134" s="5"/>
      <c r="E134" s="5"/>
      <c r="F134" s="5"/>
      <c r="G134" s="5"/>
      <c r="H134" s="5"/>
      <c r="J134" s="5"/>
      <c r="K134" s="5"/>
      <c r="L134" s="5"/>
      <c r="M134" s="5"/>
      <c r="N134" s="5"/>
    </row>
    <row r="135" spans="2:14" ht="12.75">
      <c r="B135" s="4"/>
      <c r="C135" s="5"/>
      <c r="D135" s="5"/>
      <c r="E135" s="5"/>
      <c r="F135" s="5"/>
      <c r="G135" s="5"/>
      <c r="H135" s="5"/>
      <c r="J135" s="5"/>
      <c r="K135" s="5"/>
      <c r="L135" s="5"/>
      <c r="M135" s="5"/>
      <c r="N135" s="5"/>
    </row>
    <row r="136" spans="2:14" ht="12.75">
      <c r="B136" s="4"/>
      <c r="C136" s="5"/>
      <c r="D136" s="5"/>
      <c r="E136" s="5"/>
      <c r="F136" s="5"/>
      <c r="G136" s="5"/>
      <c r="H136" s="5"/>
      <c r="J136" s="5"/>
      <c r="K136" s="5"/>
      <c r="L136" s="5"/>
      <c r="M136" s="5"/>
      <c r="N136" s="5"/>
    </row>
    <row r="137" spans="2:14" ht="12.75">
      <c r="B137" s="4"/>
      <c r="C137" s="5"/>
      <c r="D137" s="5"/>
      <c r="E137" s="5"/>
      <c r="F137" s="5"/>
      <c r="G137" s="5"/>
      <c r="H137" s="5"/>
      <c r="J137" s="5"/>
      <c r="K137" s="5"/>
      <c r="L137" s="5"/>
      <c r="M137" s="5"/>
      <c r="N137" s="5"/>
    </row>
    <row r="138" spans="2:14" ht="12.75">
      <c r="B138" s="4"/>
      <c r="C138" s="5"/>
      <c r="D138" s="5"/>
      <c r="E138" s="5"/>
      <c r="F138" s="5"/>
      <c r="G138" s="5"/>
      <c r="H138" s="5"/>
      <c r="J138" s="5"/>
      <c r="K138" s="5"/>
      <c r="L138" s="5"/>
      <c r="M138" s="5"/>
      <c r="N138" s="5"/>
    </row>
    <row r="139" spans="2:14" ht="12.75">
      <c r="B139" s="4"/>
      <c r="C139" s="5"/>
      <c r="D139" s="5"/>
      <c r="E139" s="5"/>
      <c r="F139" s="5"/>
      <c r="G139" s="5"/>
      <c r="H139" s="5"/>
      <c r="J139" s="5"/>
      <c r="K139" s="5"/>
      <c r="L139" s="5"/>
      <c r="M139" s="5"/>
      <c r="N139" s="5"/>
    </row>
    <row r="140" spans="2:14" ht="12.75">
      <c r="B140" s="4"/>
      <c r="C140" s="5"/>
      <c r="D140" s="5"/>
      <c r="E140" s="5"/>
      <c r="F140" s="5"/>
      <c r="G140" s="5"/>
      <c r="H140" s="5"/>
      <c r="J140" s="5"/>
      <c r="K140" s="5"/>
      <c r="L140" s="5"/>
      <c r="M140" s="5"/>
      <c r="N140" s="5"/>
    </row>
    <row r="141" spans="2:14" ht="12.75">
      <c r="B141" s="4"/>
      <c r="C141" s="5"/>
      <c r="D141" s="5"/>
      <c r="E141" s="5"/>
      <c r="F141" s="5"/>
      <c r="G141" s="5"/>
      <c r="H141" s="5"/>
      <c r="J141" s="5"/>
      <c r="K141" s="5"/>
      <c r="L141" s="5"/>
      <c r="M141" s="5"/>
      <c r="N141" s="5"/>
    </row>
    <row r="142" spans="2:14" ht="12.75">
      <c r="B142" s="4"/>
      <c r="C142" s="5"/>
      <c r="D142" s="5"/>
      <c r="E142" s="5"/>
      <c r="F142" s="5"/>
      <c r="G142" s="5"/>
      <c r="H142" s="5"/>
      <c r="J142" s="5"/>
      <c r="K142" s="5"/>
      <c r="L142" s="5"/>
      <c r="M142" s="5"/>
      <c r="N142" s="5"/>
    </row>
    <row r="143" spans="2:14" ht="12.75">
      <c r="B143" s="4"/>
      <c r="C143" s="5"/>
      <c r="D143" s="5"/>
      <c r="E143" s="5"/>
      <c r="F143" s="5"/>
      <c r="G143" s="5"/>
      <c r="H143" s="5"/>
      <c r="J143" s="5"/>
      <c r="K143" s="5"/>
      <c r="L143" s="5"/>
      <c r="M143" s="5"/>
      <c r="N143" s="5"/>
    </row>
    <row r="144" spans="2:14" ht="12.75">
      <c r="B144" s="4"/>
      <c r="C144" s="5"/>
      <c r="D144" s="5"/>
      <c r="E144" s="5"/>
      <c r="F144" s="5"/>
      <c r="G144" s="5"/>
      <c r="H144" s="5"/>
      <c r="J144" s="5"/>
      <c r="K144" s="5"/>
      <c r="L144" s="5"/>
      <c r="M144" s="5"/>
      <c r="N144" s="5"/>
    </row>
    <row r="145" spans="2:14" ht="12.75">
      <c r="B145" s="4"/>
      <c r="C145" s="5"/>
      <c r="D145" s="5"/>
      <c r="E145" s="5"/>
      <c r="F145" s="5"/>
      <c r="G145" s="5"/>
      <c r="H145" s="5"/>
      <c r="J145" s="5"/>
      <c r="K145" s="5"/>
      <c r="L145" s="5"/>
      <c r="M145" s="5"/>
      <c r="N145" s="5"/>
    </row>
    <row r="146" spans="2:14" ht="12.75">
      <c r="B146" s="4"/>
      <c r="C146" s="5"/>
      <c r="D146" s="5"/>
      <c r="E146" s="5"/>
      <c r="F146" s="5"/>
      <c r="G146" s="5"/>
      <c r="H146" s="5"/>
      <c r="J146" s="5"/>
      <c r="K146" s="5"/>
      <c r="L146" s="5"/>
      <c r="M146" s="5"/>
      <c r="N146" s="5"/>
    </row>
    <row r="147" spans="2:14" ht="12.75">
      <c r="B147" s="4"/>
      <c r="C147" s="5"/>
      <c r="D147" s="5"/>
      <c r="E147" s="5"/>
      <c r="F147" s="5"/>
      <c r="G147" s="5"/>
      <c r="H147" s="5"/>
      <c r="J147" s="5"/>
      <c r="K147" s="5"/>
      <c r="L147" s="5"/>
      <c r="M147" s="5"/>
      <c r="N147" s="5"/>
    </row>
    <row r="148" spans="2:14" ht="12.75">
      <c r="B148" s="4"/>
      <c r="C148" s="5"/>
      <c r="D148" s="5"/>
      <c r="E148" s="5"/>
      <c r="F148" s="5"/>
      <c r="G148" s="5"/>
      <c r="H148" s="5"/>
      <c r="J148" s="5"/>
      <c r="K148" s="5"/>
      <c r="L148" s="5"/>
      <c r="M148" s="5"/>
      <c r="N148" s="5"/>
    </row>
    <row r="149" spans="2:14" ht="12.75">
      <c r="B149" s="4"/>
      <c r="C149" s="5"/>
      <c r="D149" s="5"/>
      <c r="E149" s="5"/>
      <c r="F149" s="5"/>
      <c r="G149" s="5"/>
      <c r="H149" s="5"/>
      <c r="J149" s="5"/>
      <c r="K149" s="5"/>
      <c r="L149" s="5"/>
      <c r="M149" s="5"/>
      <c r="N149" s="5"/>
    </row>
    <row r="150" spans="2:14" ht="12.75">
      <c r="B150" s="4"/>
      <c r="C150" s="5"/>
      <c r="D150" s="5"/>
      <c r="E150" s="5"/>
      <c r="F150" s="5"/>
      <c r="G150" s="5"/>
      <c r="H150" s="5"/>
      <c r="J150" s="5"/>
      <c r="K150" s="5"/>
      <c r="L150" s="5"/>
      <c r="M150" s="5"/>
      <c r="N150" s="5"/>
    </row>
    <row r="151" spans="2:14" ht="12.75">
      <c r="B151" s="4"/>
      <c r="C151" s="5"/>
      <c r="D151" s="5"/>
      <c r="E151" s="5"/>
      <c r="F151" s="5"/>
      <c r="G151" s="5"/>
      <c r="H151" s="5"/>
      <c r="J151" s="5"/>
      <c r="K151" s="5"/>
      <c r="L151" s="5"/>
      <c r="M151" s="5"/>
      <c r="N151" s="5"/>
    </row>
    <row r="152" spans="2:14" ht="12.75">
      <c r="B152" s="4"/>
      <c r="C152" s="5"/>
      <c r="D152" s="5"/>
      <c r="E152" s="5"/>
      <c r="F152" s="5"/>
      <c r="G152" s="5"/>
      <c r="H152" s="5"/>
      <c r="J152" s="5"/>
      <c r="K152" s="5"/>
      <c r="L152" s="5"/>
      <c r="M152" s="5"/>
      <c r="N152" s="5"/>
    </row>
    <row r="153" spans="2:14" ht="12.75">
      <c r="B153" s="4"/>
      <c r="C153" s="5"/>
      <c r="D153" s="5"/>
      <c r="E153" s="5"/>
      <c r="F153" s="5"/>
      <c r="G153" s="5"/>
      <c r="H153" s="5"/>
      <c r="J153" s="5"/>
      <c r="K153" s="5"/>
      <c r="L153" s="5"/>
      <c r="M153" s="5"/>
      <c r="N153" s="5"/>
    </row>
    <row r="154" spans="2:14" ht="12.75">
      <c r="B154" s="4"/>
      <c r="C154" s="5"/>
      <c r="D154" s="5"/>
      <c r="E154" s="5"/>
      <c r="F154" s="5"/>
      <c r="G154" s="5"/>
      <c r="H154" s="5"/>
      <c r="J154" s="5"/>
      <c r="K154" s="5"/>
      <c r="L154" s="5"/>
      <c r="M154" s="5"/>
      <c r="N154" s="5"/>
    </row>
    <row r="155" spans="2:14" ht="12.75">
      <c r="B155" s="4"/>
      <c r="C155" s="5"/>
      <c r="D155" s="5"/>
      <c r="E155" s="5"/>
      <c r="F155" s="5"/>
      <c r="G155" s="5"/>
      <c r="H155" s="5"/>
      <c r="J155" s="5"/>
      <c r="K155" s="5"/>
      <c r="L155" s="5"/>
      <c r="M155" s="5"/>
      <c r="N155" s="5"/>
    </row>
    <row r="156" spans="2:14" ht="12.75">
      <c r="B156" s="4"/>
      <c r="C156" s="5"/>
      <c r="D156" s="5"/>
      <c r="E156" s="5"/>
      <c r="F156" s="5"/>
      <c r="G156" s="5"/>
      <c r="H156" s="5"/>
      <c r="J156" s="5"/>
      <c r="K156" s="5"/>
      <c r="L156" s="5"/>
      <c r="M156" s="5"/>
      <c r="N156" s="5"/>
    </row>
    <row r="157" spans="2:14" ht="12.75">
      <c r="B157" s="4"/>
      <c r="C157" s="5"/>
      <c r="D157" s="5"/>
      <c r="E157" s="5"/>
      <c r="F157" s="5"/>
      <c r="G157" s="5"/>
      <c r="H157" s="5"/>
      <c r="J157" s="5"/>
      <c r="K157" s="5"/>
      <c r="L157" s="5"/>
      <c r="M157" s="5"/>
      <c r="N157" s="5"/>
    </row>
    <row r="158" spans="2:14" ht="12.75">
      <c r="B158" s="4"/>
      <c r="C158" s="5"/>
      <c r="D158" s="5"/>
      <c r="E158" s="5"/>
      <c r="F158" s="5"/>
      <c r="G158" s="5"/>
      <c r="H158" s="5"/>
      <c r="J158" s="5"/>
      <c r="K158" s="5"/>
      <c r="L158" s="5"/>
      <c r="M158" s="5"/>
      <c r="N158" s="5"/>
    </row>
    <row r="159" spans="2:14" ht="12.75">
      <c r="B159" s="4"/>
      <c r="C159" s="5"/>
      <c r="D159" s="5"/>
      <c r="E159" s="5"/>
      <c r="F159" s="5"/>
      <c r="G159" s="5"/>
      <c r="H159" s="5"/>
      <c r="J159" s="5"/>
      <c r="K159" s="5"/>
      <c r="L159" s="5"/>
      <c r="M159" s="5"/>
      <c r="N159" s="5"/>
    </row>
    <row r="160" spans="2:14" ht="12.75">
      <c r="B160" s="4"/>
      <c r="C160" s="5"/>
      <c r="D160" s="5"/>
      <c r="E160" s="5"/>
      <c r="F160" s="5"/>
      <c r="G160" s="5"/>
      <c r="H160" s="5"/>
      <c r="J160" s="5"/>
      <c r="K160" s="5"/>
      <c r="L160" s="5"/>
      <c r="M160" s="5"/>
      <c r="N160" s="5"/>
    </row>
    <row r="161" spans="2:14" ht="12.75">
      <c r="B161" s="4"/>
      <c r="C161" s="5"/>
      <c r="D161" s="5"/>
      <c r="E161" s="5"/>
      <c r="F161" s="5"/>
      <c r="G161" s="5"/>
      <c r="H161" s="5"/>
      <c r="J161" s="5"/>
      <c r="K161" s="5"/>
      <c r="L161" s="5"/>
      <c r="M161" s="5"/>
      <c r="N161" s="5"/>
    </row>
    <row r="162" spans="2:14" ht="12.75">
      <c r="B162" s="4"/>
      <c r="C162" s="5"/>
      <c r="D162" s="5"/>
      <c r="E162" s="5"/>
      <c r="F162" s="5"/>
      <c r="G162" s="5"/>
      <c r="H162" s="5"/>
      <c r="J162" s="5"/>
      <c r="K162" s="5"/>
      <c r="L162" s="5"/>
      <c r="M162" s="5"/>
      <c r="N162" s="5"/>
    </row>
    <row r="163" spans="2:14" ht="12.75">
      <c r="B163" s="4"/>
      <c r="C163" s="5"/>
      <c r="D163" s="5"/>
      <c r="E163" s="5"/>
      <c r="F163" s="5"/>
      <c r="G163" s="5"/>
      <c r="H163" s="5"/>
      <c r="J163" s="5"/>
      <c r="K163" s="5"/>
      <c r="L163" s="5"/>
      <c r="M163" s="5"/>
      <c r="N163" s="5"/>
    </row>
    <row r="164" spans="2:14" ht="12.75">
      <c r="B164" s="4"/>
      <c r="C164" s="5"/>
      <c r="D164" s="5"/>
      <c r="E164" s="5"/>
      <c r="F164" s="5"/>
      <c r="G164" s="5"/>
      <c r="H164" s="5"/>
      <c r="J164" s="5"/>
      <c r="K164" s="5"/>
      <c r="L164" s="5"/>
      <c r="M164" s="5"/>
      <c r="N164" s="5"/>
    </row>
    <row r="165" spans="2:14" ht="12.75">
      <c r="B165" s="4"/>
      <c r="C165" s="5"/>
      <c r="D165" s="5"/>
      <c r="E165" s="5"/>
      <c r="F165" s="5"/>
      <c r="G165" s="5"/>
      <c r="H165" s="5"/>
      <c r="J165" s="5"/>
      <c r="K165" s="5"/>
      <c r="L165" s="5"/>
      <c r="M165" s="5"/>
      <c r="N165" s="5"/>
    </row>
    <row r="166" spans="2:14" ht="12.75">
      <c r="B166" s="4"/>
      <c r="C166" s="5"/>
      <c r="D166" s="5"/>
      <c r="E166" s="5"/>
      <c r="F166" s="5"/>
      <c r="G166" s="5"/>
      <c r="H166" s="5"/>
      <c r="J166" s="5"/>
      <c r="K166" s="5"/>
      <c r="L166" s="5"/>
      <c r="M166" s="5"/>
      <c r="N166" s="5"/>
    </row>
    <row r="167" spans="2:14" ht="12.75">
      <c r="B167" s="4"/>
      <c r="C167" s="5"/>
      <c r="D167" s="5"/>
      <c r="E167" s="5"/>
      <c r="F167" s="5"/>
      <c r="G167" s="5"/>
      <c r="H167" s="5"/>
      <c r="J167" s="5"/>
      <c r="K167" s="5"/>
      <c r="L167" s="5"/>
      <c r="M167" s="5"/>
      <c r="N167" s="5"/>
    </row>
    <row r="168" spans="2:14" ht="12.75">
      <c r="B168" s="4"/>
      <c r="C168" s="5"/>
      <c r="D168" s="5"/>
      <c r="E168" s="5"/>
      <c r="F168" s="5"/>
      <c r="G168" s="5"/>
      <c r="H168" s="5"/>
      <c r="J168" s="5"/>
      <c r="K168" s="5"/>
      <c r="L168" s="5"/>
      <c r="M168" s="5"/>
      <c r="N168" s="5"/>
    </row>
    <row r="169" spans="2:14" ht="12.75">
      <c r="B169" s="4"/>
      <c r="C169" s="5"/>
      <c r="D169" s="5"/>
      <c r="E169" s="5"/>
      <c r="F169" s="5"/>
      <c r="G169" s="5"/>
      <c r="H169" s="5"/>
      <c r="J169" s="5"/>
      <c r="K169" s="5"/>
      <c r="L169" s="5"/>
      <c r="M169" s="5"/>
      <c r="N169" s="5"/>
    </row>
    <row r="170" spans="2:14" ht="12.75">
      <c r="B170" s="4"/>
      <c r="C170" s="5"/>
      <c r="D170" s="5"/>
      <c r="E170" s="5"/>
      <c r="F170" s="5"/>
      <c r="G170" s="5"/>
      <c r="H170" s="5"/>
      <c r="J170" s="5"/>
      <c r="K170" s="5"/>
      <c r="L170" s="5"/>
      <c r="M170" s="5"/>
      <c r="N170" s="5"/>
    </row>
    <row r="171" spans="2:14" ht="12.75">
      <c r="B171" s="7" t="s">
        <v>109</v>
      </c>
      <c r="C171" s="5"/>
      <c r="D171" s="5"/>
      <c r="E171" s="5"/>
      <c r="F171" s="5"/>
      <c r="G171" s="5"/>
      <c r="H171" s="5"/>
      <c r="J171" s="5"/>
      <c r="K171" s="5"/>
      <c r="L171" s="5"/>
      <c r="M171" s="5"/>
      <c r="N171" s="5"/>
    </row>
    <row r="172" spans="1:23" s="1" customFormat="1" ht="12.75">
      <c r="A172" s="4"/>
      <c r="B172" s="4"/>
      <c r="C172" s="4" t="s">
        <v>110</v>
      </c>
      <c r="D172" s="4" t="s">
        <v>111</v>
      </c>
      <c r="E172" s="4" t="s">
        <v>112</v>
      </c>
      <c r="F172" s="4"/>
      <c r="G172" s="4"/>
      <c r="H172" s="4" t="s">
        <v>106</v>
      </c>
      <c r="I172" s="4"/>
      <c r="J172" s="4" t="s">
        <v>105</v>
      </c>
      <c r="K172" s="4"/>
      <c r="L172" s="4"/>
      <c r="M172" s="4"/>
      <c r="N172" s="4"/>
      <c r="O172" s="4"/>
      <c r="P172" s="4"/>
      <c r="Q172" s="4"/>
      <c r="R172" s="4"/>
      <c r="S172" s="4"/>
      <c r="T172" s="4"/>
      <c r="U172" s="4"/>
      <c r="V172" s="4"/>
      <c r="W172" s="4"/>
    </row>
    <row r="173" spans="2:14" ht="12.75">
      <c r="B173" s="4"/>
      <c r="C173" s="29" t="s">
        <v>127</v>
      </c>
      <c r="D173" s="29" t="s">
        <v>127</v>
      </c>
      <c r="E173" s="29" t="s">
        <v>127</v>
      </c>
      <c r="F173" s="5"/>
      <c r="G173" s="5"/>
      <c r="H173" s="29" t="s">
        <v>127</v>
      </c>
      <c r="J173" s="5"/>
      <c r="K173" s="5"/>
      <c r="L173" s="5"/>
      <c r="M173" s="5"/>
      <c r="N173" s="5"/>
    </row>
    <row r="174" spans="2:14" ht="12.75">
      <c r="B174" s="4"/>
      <c r="C174" s="45" t="s">
        <v>159</v>
      </c>
      <c r="D174" s="5" t="s">
        <v>161</v>
      </c>
      <c r="E174" s="5" t="s">
        <v>118</v>
      </c>
      <c r="F174" s="5"/>
      <c r="G174" s="5"/>
      <c r="H174" s="5" t="s">
        <v>123</v>
      </c>
      <c r="J174" s="5" t="s">
        <v>154</v>
      </c>
      <c r="K174" s="5"/>
      <c r="L174" s="5"/>
      <c r="M174" s="5"/>
      <c r="N174" s="5"/>
    </row>
    <row r="175" spans="2:14" ht="12.75">
      <c r="B175" s="4"/>
      <c r="C175" s="5" t="s">
        <v>156</v>
      </c>
      <c r="D175" s="5" t="s">
        <v>116</v>
      </c>
      <c r="E175" s="5" t="s">
        <v>119</v>
      </c>
      <c r="F175" s="5"/>
      <c r="G175" s="5"/>
      <c r="H175" s="5" t="s">
        <v>124</v>
      </c>
      <c r="J175" s="5" t="s">
        <v>155</v>
      </c>
      <c r="K175" s="5"/>
      <c r="L175" s="5"/>
      <c r="M175" s="5"/>
      <c r="N175" s="5"/>
    </row>
    <row r="176" spans="2:14" ht="12.75">
      <c r="B176" s="4"/>
      <c r="C176" s="5" t="s">
        <v>157</v>
      </c>
      <c r="D176" s="5" t="s">
        <v>117</v>
      </c>
      <c r="E176" s="5" t="s">
        <v>120</v>
      </c>
      <c r="F176" s="5"/>
      <c r="G176" s="5"/>
      <c r="H176" s="5" t="s">
        <v>125</v>
      </c>
      <c r="J176" s="5"/>
      <c r="K176" s="5"/>
      <c r="L176" s="5"/>
      <c r="M176" s="5"/>
      <c r="N176" s="5"/>
    </row>
    <row r="177" spans="2:14" ht="12.75">
      <c r="B177" s="4"/>
      <c r="C177" s="5" t="s">
        <v>160</v>
      </c>
      <c r="D177" s="5" t="s">
        <v>162</v>
      </c>
      <c r="E177" s="5" t="s">
        <v>121</v>
      </c>
      <c r="F177" s="5"/>
      <c r="G177" s="5"/>
      <c r="H177" s="5" t="s">
        <v>126</v>
      </c>
      <c r="J177" s="5"/>
      <c r="K177" s="5"/>
      <c r="L177" s="5"/>
      <c r="M177" s="5"/>
      <c r="N177" s="5"/>
    </row>
    <row r="178" spans="2:14" ht="12.75">
      <c r="B178" s="4"/>
      <c r="C178" s="5" t="s">
        <v>113</v>
      </c>
      <c r="D178" s="5"/>
      <c r="E178" s="5" t="s">
        <v>122</v>
      </c>
      <c r="F178" s="5"/>
      <c r="G178" s="5"/>
      <c r="H178" s="5" t="s">
        <v>122</v>
      </c>
      <c r="J178" s="5"/>
      <c r="K178" s="5"/>
      <c r="L178" s="5"/>
      <c r="M178" s="5"/>
      <c r="N178" s="5"/>
    </row>
    <row r="179" spans="2:14" ht="12.75">
      <c r="B179" s="4"/>
      <c r="C179" s="5" t="s">
        <v>114</v>
      </c>
      <c r="D179" s="5"/>
      <c r="E179" s="5"/>
      <c r="F179" s="5"/>
      <c r="G179" s="5"/>
      <c r="H179" s="5"/>
      <c r="J179" s="5"/>
      <c r="K179" s="5"/>
      <c r="L179" s="5"/>
      <c r="M179" s="5"/>
      <c r="N179" s="5"/>
    </row>
    <row r="180" spans="2:14" ht="12.75">
      <c r="B180" s="4"/>
      <c r="C180" s="5" t="s">
        <v>158</v>
      </c>
      <c r="D180" s="5"/>
      <c r="E180" s="5"/>
      <c r="F180" s="5"/>
      <c r="G180" s="5"/>
      <c r="H180" s="5"/>
      <c r="J180" s="5"/>
      <c r="K180" s="5"/>
      <c r="L180" s="5"/>
      <c r="M180" s="5"/>
      <c r="N180" s="5"/>
    </row>
    <row r="181" spans="2:14" ht="12.75">
      <c r="B181" s="4"/>
      <c r="C181" s="5" t="s">
        <v>115</v>
      </c>
      <c r="D181" s="5"/>
      <c r="E181" s="5"/>
      <c r="F181" s="5"/>
      <c r="G181" s="5"/>
      <c r="H181" s="5"/>
      <c r="J181" s="5"/>
      <c r="K181" s="5"/>
      <c r="L181" s="5"/>
      <c r="M181" s="5"/>
      <c r="N181" s="5"/>
    </row>
    <row r="182" spans="2:14" ht="12.75">
      <c r="B182" s="4"/>
      <c r="C182" s="88" t="s">
        <v>287</v>
      </c>
      <c r="D182" s="5"/>
      <c r="E182" s="5"/>
      <c r="F182" s="5"/>
      <c r="G182" s="5"/>
      <c r="H182" s="5"/>
      <c r="J182" s="5"/>
      <c r="K182" s="5"/>
      <c r="L182" s="5"/>
      <c r="M182" s="5"/>
      <c r="N182" s="5"/>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row r="351" ht="12.75">
      <c r="B351" s="4"/>
    </row>
    <row r="352" ht="12.75">
      <c r="B352" s="4"/>
    </row>
    <row r="353" ht="12.75">
      <c r="B353" s="4"/>
    </row>
    <row r="354" ht="12.75">
      <c r="B354" s="4"/>
    </row>
    <row r="355" ht="12.75">
      <c r="B355" s="4"/>
    </row>
    <row r="356" ht="12.75">
      <c r="B356" s="4"/>
    </row>
    <row r="357" ht="12.75">
      <c r="B357" s="4"/>
    </row>
    <row r="358" ht="12.75">
      <c r="B358" s="4"/>
    </row>
    <row r="359" ht="12.75">
      <c r="B359" s="4"/>
    </row>
    <row r="360" ht="12.75">
      <c r="B360" s="4"/>
    </row>
    <row r="361" ht="12.75">
      <c r="B361" s="4"/>
    </row>
    <row r="362" ht="12.75">
      <c r="B362" s="4"/>
    </row>
    <row r="363" ht="12.75">
      <c r="B363" s="4"/>
    </row>
    <row r="364" ht="12.75">
      <c r="B364" s="4"/>
    </row>
    <row r="365" ht="12.75">
      <c r="B365" s="4"/>
    </row>
    <row r="366" ht="12.75">
      <c r="B366" s="4"/>
    </row>
    <row r="367" ht="12.75">
      <c r="B367" s="4"/>
    </row>
    <row r="368" ht="12.75">
      <c r="B368" s="4"/>
    </row>
    <row r="369" ht="12.75">
      <c r="B369" s="4"/>
    </row>
    <row r="370" ht="12.75">
      <c r="B370" s="4"/>
    </row>
    <row r="371" ht="12.75">
      <c r="B371" s="4"/>
    </row>
    <row r="372" ht="12.75">
      <c r="B372" s="4"/>
    </row>
    <row r="373" ht="12.75">
      <c r="B373" s="4"/>
    </row>
    <row r="374" ht="12.75">
      <c r="B374" s="4"/>
    </row>
    <row r="375" ht="12.75">
      <c r="B375" s="4"/>
    </row>
    <row r="376" ht="12.75">
      <c r="B376" s="4"/>
    </row>
    <row r="377" ht="12.75">
      <c r="B377" s="4"/>
    </row>
    <row r="378" ht="12.75">
      <c r="B378" s="4"/>
    </row>
    <row r="379" ht="12.75">
      <c r="B379" s="4"/>
    </row>
    <row r="380" ht="12.75">
      <c r="B380" s="4"/>
    </row>
    <row r="381" ht="12.75">
      <c r="B381" s="4"/>
    </row>
    <row r="382" ht="12.75">
      <c r="B382" s="4"/>
    </row>
    <row r="383" ht="12.75">
      <c r="B383" s="4"/>
    </row>
    <row r="384" ht="12.75">
      <c r="B384" s="4"/>
    </row>
    <row r="385" ht="12.75">
      <c r="B385" s="4"/>
    </row>
    <row r="386" ht="12.75">
      <c r="B386" s="4"/>
    </row>
    <row r="387" ht="12.75">
      <c r="B387" s="4"/>
    </row>
    <row r="388" ht="12.75">
      <c r="B388" s="4"/>
    </row>
    <row r="389" ht="12.75">
      <c r="B389" s="4"/>
    </row>
    <row r="390" ht="12.75">
      <c r="B390" s="4"/>
    </row>
    <row r="391" ht="12.75">
      <c r="B391" s="4"/>
    </row>
    <row r="392" ht="12.75">
      <c r="B392" s="4"/>
    </row>
    <row r="393" ht="12.75">
      <c r="B393" s="4"/>
    </row>
    <row r="394" ht="12.75">
      <c r="B394" s="4"/>
    </row>
    <row r="395" ht="12.75">
      <c r="B395" s="4"/>
    </row>
    <row r="396" ht="12.75">
      <c r="B396" s="4"/>
    </row>
    <row r="397" ht="12.75">
      <c r="B397" s="4"/>
    </row>
    <row r="398" ht="12.75">
      <c r="B398" s="4"/>
    </row>
    <row r="399" ht="12.75">
      <c r="B399" s="4"/>
    </row>
    <row r="400" ht="12.75">
      <c r="B400" s="4"/>
    </row>
    <row r="401" ht="12.75">
      <c r="B401" s="4"/>
    </row>
    <row r="402" ht="12.75">
      <c r="B402" s="4"/>
    </row>
    <row r="403" ht="12.75">
      <c r="B403" s="4"/>
    </row>
    <row r="404" ht="12.75">
      <c r="B404" s="4"/>
    </row>
    <row r="405" ht="12.75">
      <c r="B405" s="4"/>
    </row>
    <row r="406" ht="12.75">
      <c r="B406" s="4"/>
    </row>
    <row r="407" ht="12.75">
      <c r="B407" s="4"/>
    </row>
    <row r="408" ht="12.75">
      <c r="B408" s="4"/>
    </row>
    <row r="409" ht="12.75">
      <c r="B409" s="4"/>
    </row>
    <row r="410" ht="12.75">
      <c r="B410" s="4"/>
    </row>
    <row r="411" ht="12.75">
      <c r="B411" s="4"/>
    </row>
    <row r="412" ht="12.75">
      <c r="B412" s="4"/>
    </row>
    <row r="413" ht="12.75">
      <c r="B413" s="4"/>
    </row>
    <row r="414" ht="12.75">
      <c r="B414" s="4"/>
    </row>
    <row r="415" ht="12.75">
      <c r="B415" s="4"/>
    </row>
    <row r="416" ht="12.75">
      <c r="B416" s="4"/>
    </row>
    <row r="417" ht="12.75">
      <c r="B417" s="4"/>
    </row>
    <row r="418" ht="12.75">
      <c r="B418" s="4"/>
    </row>
    <row r="419" ht="12.75">
      <c r="B419" s="4"/>
    </row>
    <row r="420" ht="12.75">
      <c r="B420" s="4"/>
    </row>
    <row r="421" ht="12.75">
      <c r="B421" s="4"/>
    </row>
  </sheetData>
  <sheetProtection formatCells="0" formatRows="0" insertRows="0" insertHyperlinks="0" deleteRows="0" selectLockedCells="1"/>
  <mergeCells count="28">
    <mergeCell ref="D16:E16"/>
    <mergeCell ref="B8:N8"/>
    <mergeCell ref="B6:C6"/>
    <mergeCell ref="B16:C16"/>
    <mergeCell ref="B14:C14"/>
    <mergeCell ref="B13:C13"/>
    <mergeCell ref="B12:C12"/>
    <mergeCell ref="D12:E12"/>
    <mergeCell ref="B85:N85"/>
    <mergeCell ref="B74:N74"/>
    <mergeCell ref="B20:N20"/>
    <mergeCell ref="D17:E17"/>
    <mergeCell ref="B15:C15"/>
    <mergeCell ref="D13:E13"/>
    <mergeCell ref="D14:E14"/>
    <mergeCell ref="I22:N22"/>
    <mergeCell ref="B17:C17"/>
    <mergeCell ref="D15:E15"/>
    <mergeCell ref="B1:O1"/>
    <mergeCell ref="B2:O2"/>
    <mergeCell ref="G5:J5"/>
    <mergeCell ref="B4:C4"/>
    <mergeCell ref="B5:C5"/>
    <mergeCell ref="D11:E11"/>
    <mergeCell ref="B10:C10"/>
    <mergeCell ref="D10:E10"/>
    <mergeCell ref="B11:C11"/>
    <mergeCell ref="D6:M6"/>
  </mergeCells>
  <conditionalFormatting sqref="H88:H115 H77:H82">
    <cfRule type="cellIs" priority="1" dxfId="1" operator="equal" stopIfTrue="1">
      <formula>0</formula>
    </cfRule>
  </conditionalFormatting>
  <conditionalFormatting sqref="G77:G82 G88:G115">
    <cfRule type="cellIs" priority="2" dxfId="0" operator="equal" stopIfTrue="1">
      <formula>1</formula>
    </cfRule>
  </conditionalFormatting>
  <dataValidations count="8">
    <dataValidation type="list" allowBlank="1" showInputMessage="1" showErrorMessage="1" sqref="L77:L83 L88:L115">
      <formula1>lstOrigin</formula1>
    </dataValidation>
    <dataValidation type="list" allowBlank="1" showInputMessage="1" showErrorMessage="1" sqref="K77:K83 K88:K115">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textLength" operator="lessThan" allowBlank="1" showInputMessage="1" showErrorMessage="1" prompt="Max Length = 15" error="Over Limit" sqref="C23:C70 C93 C104:C113">
      <formula1>16</formula1>
    </dataValidation>
  </dataValidations>
  <printOptions/>
  <pageMargins left="0.25" right="0.25" top="0.5" bottom="0.5" header="0.3" footer="0.3"/>
  <pageSetup fitToHeight="100" fitToWidth="1" horizontalDpi="600" verticalDpi="600" orientation="landscape" paperSize="3" scale="85"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8"/>
  <dimension ref="A1:IT59"/>
  <sheetViews>
    <sheetView zoomScaleSheetLayoutView="80" zoomScalePageLayoutView="0" workbookViewId="0" topLeftCell="A1">
      <pane xSplit="1" topLeftCell="B1" activePane="topRight" state="frozen"/>
      <selection pane="topLeft" activeCell="A1" sqref="A1"/>
      <selection pane="topRight" activeCell="B1" sqref="B1"/>
    </sheetView>
  </sheetViews>
  <sheetFormatPr defaultColWidth="36.8515625" defaultRowHeight="12.75" customHeight="1"/>
  <cols>
    <col min="1" max="1" width="17.140625" style="10" customWidth="1"/>
    <col min="2" max="18" width="30.7109375" style="121" customWidth="1"/>
    <col min="19" max="36" width="36.8515625" style="121" customWidth="1"/>
    <col min="37" max="37" width="37.00390625" style="121" customWidth="1"/>
    <col min="38" max="44" width="36.8515625" style="121" customWidth="1"/>
    <col min="45" max="53" width="36.8515625" style="10" customWidth="1"/>
    <col min="54" max="54" width="37.140625" style="10" customWidth="1"/>
    <col min="55" max="56" width="36.8515625" style="10" customWidth="1"/>
    <col min="57" max="57" width="36.7109375" style="10" customWidth="1"/>
    <col min="58" max="59" width="36.8515625" style="10" customWidth="1"/>
    <col min="60" max="60" width="36.7109375" style="10" customWidth="1"/>
    <col min="61" max="61" width="37.00390625" style="10" customWidth="1"/>
    <col min="62" max="80" width="36.8515625" style="10" customWidth="1"/>
    <col min="81" max="81" width="37.00390625" style="10" customWidth="1"/>
    <col min="82" max="99" width="36.8515625" style="10" customWidth="1"/>
    <col min="100" max="100" width="36.7109375" style="10" customWidth="1"/>
    <col min="101" max="113" width="36.8515625" style="10" customWidth="1"/>
    <col min="114" max="114" width="36.7109375" style="10" customWidth="1"/>
    <col min="115" max="117" width="36.8515625" style="10" customWidth="1"/>
    <col min="118" max="118" width="36.7109375" style="10" customWidth="1"/>
    <col min="119" max="126" width="36.8515625" style="10" customWidth="1"/>
    <col min="127" max="127" width="36.7109375" style="10" customWidth="1"/>
    <col min="128" max="16384" width="36.8515625" style="10" customWidth="1"/>
  </cols>
  <sheetData>
    <row r="1" spans="1:44" s="9" customFormat="1" ht="12.75" customHeight="1">
      <c r="A1" s="8" t="s">
        <v>128</v>
      </c>
      <c r="B1" s="104"/>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row>
    <row r="2" spans="1:254" s="20" customFormat="1" ht="12.75" customHeight="1">
      <c r="A2" s="19" t="s">
        <v>129</v>
      </c>
      <c r="B2" s="106">
        <f>IF(B3="","",1)</f>
        <v>1</v>
      </c>
      <c r="C2" s="106">
        <f aca="true" t="shared" si="0" ref="C2:BN2">IF(C3="","",B2+1)</f>
        <v>2</v>
      </c>
      <c r="D2" s="106">
        <f t="shared" si="0"/>
        <v>3</v>
      </c>
      <c r="E2" s="106">
        <f t="shared" si="0"/>
        <v>4</v>
      </c>
      <c r="F2" s="106">
        <f t="shared" si="0"/>
        <v>5</v>
      </c>
      <c r="G2" s="106">
        <f t="shared" si="0"/>
        <v>6</v>
      </c>
      <c r="H2" s="106">
        <f t="shared" si="0"/>
        <v>7</v>
      </c>
      <c r="I2" s="106">
        <f t="shared" si="0"/>
        <v>8</v>
      </c>
      <c r="J2" s="106">
        <f t="shared" si="0"/>
        <v>9</v>
      </c>
      <c r="K2" s="106">
        <f t="shared" si="0"/>
        <v>10</v>
      </c>
      <c r="L2" s="106">
        <f t="shared" si="0"/>
        <v>11</v>
      </c>
      <c r="M2" s="106">
        <f t="shared" si="0"/>
        <v>12</v>
      </c>
      <c r="N2" s="106">
        <f t="shared" si="0"/>
        <v>13</v>
      </c>
      <c r="O2" s="106">
        <f t="shared" si="0"/>
        <v>14</v>
      </c>
      <c r="P2" s="106">
        <f t="shared" si="0"/>
        <v>15</v>
      </c>
      <c r="Q2" s="106">
        <f t="shared" si="0"/>
        <v>16</v>
      </c>
      <c r="R2" s="106">
        <f t="shared" si="0"/>
        <v>17</v>
      </c>
      <c r="S2" s="106">
        <f t="shared" si="0"/>
        <v>18</v>
      </c>
      <c r="T2" s="106">
        <v>19</v>
      </c>
      <c r="U2" s="106">
        <v>20</v>
      </c>
      <c r="V2" s="106">
        <f t="shared" si="0"/>
      </c>
      <c r="W2" s="106">
        <f t="shared" si="0"/>
      </c>
      <c r="X2" s="106">
        <f t="shared" si="0"/>
      </c>
      <c r="Y2" s="106">
        <f t="shared" si="0"/>
      </c>
      <c r="Z2" s="106">
        <f t="shared" si="0"/>
      </c>
      <c r="AA2" s="106">
        <f t="shared" si="0"/>
      </c>
      <c r="AB2" s="106">
        <f t="shared" si="0"/>
      </c>
      <c r="AC2" s="106">
        <f t="shared" si="0"/>
      </c>
      <c r="AD2" s="106">
        <f t="shared" si="0"/>
      </c>
      <c r="AE2" s="106">
        <f t="shared" si="0"/>
      </c>
      <c r="AF2" s="106">
        <f t="shared" si="0"/>
      </c>
      <c r="AG2" s="106">
        <f t="shared" si="0"/>
      </c>
      <c r="AH2" s="106">
        <f t="shared" si="0"/>
      </c>
      <c r="AI2" s="106">
        <f t="shared" si="0"/>
      </c>
      <c r="AJ2" s="106">
        <f t="shared" si="0"/>
      </c>
      <c r="AK2" s="106">
        <f t="shared" si="0"/>
      </c>
      <c r="AL2" s="106">
        <f t="shared" si="0"/>
      </c>
      <c r="AM2" s="106">
        <f t="shared" si="0"/>
      </c>
      <c r="AN2" s="106">
        <f t="shared" si="0"/>
      </c>
      <c r="AO2" s="106">
        <f t="shared" si="0"/>
      </c>
      <c r="AP2" s="106">
        <f t="shared" si="0"/>
      </c>
      <c r="AQ2" s="106">
        <f t="shared" si="0"/>
      </c>
      <c r="AR2" s="106">
        <f t="shared" si="0"/>
      </c>
      <c r="AS2" s="63">
        <f t="shared" si="0"/>
      </c>
      <c r="AT2" s="63">
        <f t="shared" si="0"/>
      </c>
      <c r="AU2" s="63">
        <f t="shared" si="0"/>
      </c>
      <c r="AV2" s="63">
        <f t="shared" si="0"/>
      </c>
      <c r="AW2" s="63">
        <f t="shared" si="0"/>
      </c>
      <c r="AX2" s="63">
        <f t="shared" si="0"/>
      </c>
      <c r="AY2" s="63">
        <f t="shared" si="0"/>
      </c>
      <c r="AZ2" s="63">
        <f t="shared" si="0"/>
      </c>
      <c r="BA2" s="63">
        <f t="shared" si="0"/>
      </c>
      <c r="BB2" s="63">
        <f t="shared" si="0"/>
      </c>
      <c r="BC2" s="63">
        <f t="shared" si="0"/>
      </c>
      <c r="BD2" s="63">
        <f t="shared" si="0"/>
      </c>
      <c r="BE2" s="63">
        <f t="shared" si="0"/>
      </c>
      <c r="BF2" s="63">
        <f t="shared" si="0"/>
      </c>
      <c r="BG2" s="63">
        <f t="shared" si="0"/>
      </c>
      <c r="BH2" s="63">
        <f t="shared" si="0"/>
      </c>
      <c r="BI2" s="63">
        <f t="shared" si="0"/>
      </c>
      <c r="BJ2" s="63">
        <f t="shared" si="0"/>
      </c>
      <c r="BK2" s="63">
        <f t="shared" si="0"/>
      </c>
      <c r="BL2" s="63">
        <f t="shared" si="0"/>
      </c>
      <c r="BM2" s="63">
        <f t="shared" si="0"/>
      </c>
      <c r="BN2" s="63">
        <f t="shared" si="0"/>
      </c>
      <c r="BO2" s="63">
        <f aca="true" t="shared" si="1" ref="BO2:DZ2">IF(BO3="","",BN2+1)</f>
      </c>
      <c r="BP2" s="63">
        <f t="shared" si="1"/>
      </c>
      <c r="BQ2" s="63">
        <f t="shared" si="1"/>
      </c>
      <c r="BR2" s="63">
        <f t="shared" si="1"/>
      </c>
      <c r="BS2" s="63">
        <f t="shared" si="1"/>
      </c>
      <c r="BT2" s="63">
        <f t="shared" si="1"/>
      </c>
      <c r="BU2" s="63">
        <f t="shared" si="1"/>
      </c>
      <c r="BV2" s="63">
        <f t="shared" si="1"/>
      </c>
      <c r="BW2" s="63">
        <f t="shared" si="1"/>
      </c>
      <c r="BX2" s="63">
        <f t="shared" si="1"/>
      </c>
      <c r="BY2" s="63">
        <f t="shared" si="1"/>
      </c>
      <c r="BZ2" s="63">
        <f t="shared" si="1"/>
      </c>
      <c r="CA2" s="63">
        <f t="shared" si="1"/>
      </c>
      <c r="CB2" s="63">
        <f t="shared" si="1"/>
      </c>
      <c r="CC2" s="63">
        <f t="shared" si="1"/>
      </c>
      <c r="CD2" s="63">
        <f t="shared" si="1"/>
      </c>
      <c r="CE2" s="63">
        <f t="shared" si="1"/>
      </c>
      <c r="CF2" s="63">
        <f t="shared" si="1"/>
      </c>
      <c r="CG2" s="63">
        <f t="shared" si="1"/>
      </c>
      <c r="CH2" s="63">
        <f t="shared" si="1"/>
      </c>
      <c r="CI2" s="63">
        <f t="shared" si="1"/>
      </c>
      <c r="CJ2" s="63">
        <f t="shared" si="1"/>
      </c>
      <c r="CK2" s="63">
        <f t="shared" si="1"/>
      </c>
      <c r="CL2" s="63">
        <f t="shared" si="1"/>
      </c>
      <c r="CM2" s="63">
        <f t="shared" si="1"/>
      </c>
      <c r="CN2" s="63">
        <f t="shared" si="1"/>
      </c>
      <c r="CO2" s="63">
        <f t="shared" si="1"/>
      </c>
      <c r="CP2" s="63">
        <f t="shared" si="1"/>
      </c>
      <c r="CQ2" s="63">
        <f t="shared" si="1"/>
      </c>
      <c r="CR2" s="63">
        <f t="shared" si="1"/>
      </c>
      <c r="CS2" s="63">
        <f t="shared" si="1"/>
      </c>
      <c r="CT2" s="63">
        <f t="shared" si="1"/>
      </c>
      <c r="CU2" s="63">
        <f t="shared" si="1"/>
      </c>
      <c r="CV2" s="63">
        <f t="shared" si="1"/>
      </c>
      <c r="CW2" s="63">
        <f t="shared" si="1"/>
      </c>
      <c r="CX2" s="63">
        <f t="shared" si="1"/>
      </c>
      <c r="CY2" s="63">
        <f t="shared" si="1"/>
      </c>
      <c r="CZ2" s="63">
        <f t="shared" si="1"/>
      </c>
      <c r="DA2" s="63">
        <f t="shared" si="1"/>
      </c>
      <c r="DB2" s="63">
        <f t="shared" si="1"/>
      </c>
      <c r="DC2" s="63">
        <f t="shared" si="1"/>
      </c>
      <c r="DD2" s="63">
        <f t="shared" si="1"/>
      </c>
      <c r="DE2" s="63">
        <f t="shared" si="1"/>
      </c>
      <c r="DF2" s="63">
        <f t="shared" si="1"/>
      </c>
      <c r="DG2" s="63">
        <f t="shared" si="1"/>
      </c>
      <c r="DH2" s="63">
        <f t="shared" si="1"/>
      </c>
      <c r="DI2" s="63">
        <f t="shared" si="1"/>
      </c>
      <c r="DJ2" s="63">
        <f t="shared" si="1"/>
      </c>
      <c r="DK2" s="63">
        <f t="shared" si="1"/>
      </c>
      <c r="DL2" s="63">
        <f t="shared" si="1"/>
      </c>
      <c r="DM2" s="63">
        <f t="shared" si="1"/>
      </c>
      <c r="DN2" s="63">
        <f t="shared" si="1"/>
      </c>
      <c r="DO2" s="63">
        <f t="shared" si="1"/>
      </c>
      <c r="DP2" s="63">
        <f t="shared" si="1"/>
      </c>
      <c r="DQ2" s="63">
        <f t="shared" si="1"/>
      </c>
      <c r="DR2" s="63">
        <f t="shared" si="1"/>
      </c>
      <c r="DS2" s="63">
        <f t="shared" si="1"/>
      </c>
      <c r="DT2" s="63">
        <f t="shared" si="1"/>
      </c>
      <c r="DU2" s="63">
        <f t="shared" si="1"/>
      </c>
      <c r="DV2" s="63">
        <f t="shared" si="1"/>
      </c>
      <c r="DW2" s="63">
        <f t="shared" si="1"/>
      </c>
      <c r="DX2" s="63">
        <f t="shared" si="1"/>
      </c>
      <c r="DY2" s="63">
        <f t="shared" si="1"/>
      </c>
      <c r="DZ2" s="63">
        <f t="shared" si="1"/>
      </c>
      <c r="EA2" s="63">
        <f aca="true" t="shared" si="2" ref="EA2:GL2">IF(EA3="","",DZ2+1)</f>
      </c>
      <c r="EB2" s="63">
        <f t="shared" si="2"/>
      </c>
      <c r="EC2" s="63">
        <f t="shared" si="2"/>
      </c>
      <c r="ED2" s="63">
        <f t="shared" si="2"/>
      </c>
      <c r="EE2" s="63">
        <f t="shared" si="2"/>
      </c>
      <c r="EF2" s="63">
        <f t="shared" si="2"/>
      </c>
      <c r="EG2" s="63">
        <f t="shared" si="2"/>
      </c>
      <c r="EH2" s="63">
        <f t="shared" si="2"/>
      </c>
      <c r="EI2" s="63">
        <f t="shared" si="2"/>
      </c>
      <c r="EJ2" s="63">
        <f t="shared" si="2"/>
      </c>
      <c r="EK2" s="63">
        <f t="shared" si="2"/>
      </c>
      <c r="EL2" s="63">
        <f t="shared" si="2"/>
      </c>
      <c r="EM2" s="63">
        <f t="shared" si="2"/>
      </c>
      <c r="EN2" s="63">
        <f t="shared" si="2"/>
      </c>
      <c r="EO2" s="63">
        <f t="shared" si="2"/>
      </c>
      <c r="EP2" s="63">
        <f t="shared" si="2"/>
      </c>
      <c r="EQ2" s="63">
        <f t="shared" si="2"/>
      </c>
      <c r="ER2" s="63">
        <f t="shared" si="2"/>
      </c>
      <c r="ES2" s="63">
        <f t="shared" si="2"/>
      </c>
      <c r="ET2" s="63">
        <f t="shared" si="2"/>
      </c>
      <c r="EU2" s="63">
        <f t="shared" si="2"/>
      </c>
      <c r="EV2" s="63">
        <f t="shared" si="2"/>
      </c>
      <c r="EW2" s="63">
        <f t="shared" si="2"/>
      </c>
      <c r="EX2" s="63">
        <f t="shared" si="2"/>
      </c>
      <c r="EY2" s="63">
        <f t="shared" si="2"/>
      </c>
      <c r="EZ2" s="63">
        <f t="shared" si="2"/>
      </c>
      <c r="FA2" s="63">
        <f t="shared" si="2"/>
      </c>
      <c r="FB2" s="63">
        <f t="shared" si="2"/>
      </c>
      <c r="FC2" s="63">
        <f t="shared" si="2"/>
      </c>
      <c r="FD2" s="63">
        <f t="shared" si="2"/>
      </c>
      <c r="FE2" s="63">
        <f t="shared" si="2"/>
      </c>
      <c r="FF2" s="63">
        <f t="shared" si="2"/>
      </c>
      <c r="FG2" s="63">
        <f t="shared" si="2"/>
      </c>
      <c r="FH2" s="63">
        <f t="shared" si="2"/>
      </c>
      <c r="FI2" s="63">
        <f t="shared" si="2"/>
      </c>
      <c r="FJ2" s="63">
        <f t="shared" si="2"/>
      </c>
      <c r="FK2" s="63">
        <f t="shared" si="2"/>
      </c>
      <c r="FL2" s="63">
        <f t="shared" si="2"/>
      </c>
      <c r="FM2" s="63">
        <f t="shared" si="2"/>
      </c>
      <c r="FN2" s="63">
        <f t="shared" si="2"/>
      </c>
      <c r="FO2" s="63">
        <f t="shared" si="2"/>
      </c>
      <c r="FP2" s="63">
        <f t="shared" si="2"/>
      </c>
      <c r="FQ2" s="63">
        <f t="shared" si="2"/>
      </c>
      <c r="FR2" s="63">
        <f t="shared" si="2"/>
      </c>
      <c r="FS2" s="63">
        <f t="shared" si="2"/>
      </c>
      <c r="FT2" s="63">
        <f t="shared" si="2"/>
      </c>
      <c r="FU2" s="63">
        <f t="shared" si="2"/>
      </c>
      <c r="FV2" s="63">
        <f t="shared" si="2"/>
      </c>
      <c r="FW2" s="63">
        <f t="shared" si="2"/>
      </c>
      <c r="FX2" s="63">
        <f t="shared" si="2"/>
      </c>
      <c r="FY2" s="63">
        <f t="shared" si="2"/>
      </c>
      <c r="FZ2" s="63">
        <f t="shared" si="2"/>
      </c>
      <c r="GA2" s="63">
        <f t="shared" si="2"/>
      </c>
      <c r="GB2" s="63">
        <f t="shared" si="2"/>
      </c>
      <c r="GC2" s="63">
        <f t="shared" si="2"/>
      </c>
      <c r="GD2" s="63">
        <f t="shared" si="2"/>
      </c>
      <c r="GE2" s="63">
        <f t="shared" si="2"/>
      </c>
      <c r="GF2" s="63">
        <f t="shared" si="2"/>
      </c>
      <c r="GG2" s="63">
        <f t="shared" si="2"/>
      </c>
      <c r="GH2" s="63">
        <f t="shared" si="2"/>
      </c>
      <c r="GI2" s="63">
        <f t="shared" si="2"/>
      </c>
      <c r="GJ2" s="63">
        <f t="shared" si="2"/>
      </c>
      <c r="GK2" s="63">
        <f t="shared" si="2"/>
      </c>
      <c r="GL2" s="63">
        <f t="shared" si="2"/>
      </c>
      <c r="GM2" s="63">
        <f aca="true" t="shared" si="3" ref="GM2:IT2">IF(GM3="","",GL2+1)</f>
      </c>
      <c r="GN2" s="63">
        <f t="shared" si="3"/>
      </c>
      <c r="GO2" s="63">
        <f t="shared" si="3"/>
      </c>
      <c r="GP2" s="63">
        <f t="shared" si="3"/>
      </c>
      <c r="GQ2" s="63">
        <f t="shared" si="3"/>
      </c>
      <c r="GR2" s="63">
        <f t="shared" si="3"/>
      </c>
      <c r="GS2" s="63">
        <f t="shared" si="3"/>
      </c>
      <c r="GT2" s="63">
        <f t="shared" si="3"/>
      </c>
      <c r="GU2" s="63">
        <f t="shared" si="3"/>
      </c>
      <c r="GV2" s="63">
        <f t="shared" si="3"/>
      </c>
      <c r="GW2" s="63">
        <f t="shared" si="3"/>
      </c>
      <c r="GX2" s="63">
        <f t="shared" si="3"/>
      </c>
      <c r="GY2" s="63">
        <f t="shared" si="3"/>
      </c>
      <c r="GZ2" s="63">
        <f t="shared" si="3"/>
      </c>
      <c r="HA2" s="63">
        <f t="shared" si="3"/>
      </c>
      <c r="HB2" s="63">
        <f t="shared" si="3"/>
      </c>
      <c r="HC2" s="63">
        <f t="shared" si="3"/>
      </c>
      <c r="HD2" s="63">
        <f t="shared" si="3"/>
      </c>
      <c r="HE2" s="63">
        <f t="shared" si="3"/>
      </c>
      <c r="HF2" s="63">
        <f t="shared" si="3"/>
      </c>
      <c r="HG2" s="63">
        <f t="shared" si="3"/>
      </c>
      <c r="HH2" s="63">
        <f t="shared" si="3"/>
      </c>
      <c r="HI2" s="63">
        <f t="shared" si="3"/>
      </c>
      <c r="HJ2" s="63">
        <f t="shared" si="3"/>
      </c>
      <c r="HK2" s="63">
        <f t="shared" si="3"/>
      </c>
      <c r="HL2" s="63">
        <f t="shared" si="3"/>
      </c>
      <c r="HM2" s="63">
        <f t="shared" si="3"/>
      </c>
      <c r="HN2" s="63">
        <f t="shared" si="3"/>
      </c>
      <c r="HO2" s="63">
        <f t="shared" si="3"/>
      </c>
      <c r="HP2" s="63">
        <f t="shared" si="3"/>
      </c>
      <c r="HQ2" s="63">
        <f t="shared" si="3"/>
      </c>
      <c r="HR2" s="63">
        <f t="shared" si="3"/>
      </c>
      <c r="HS2" s="63">
        <f t="shared" si="3"/>
      </c>
      <c r="HT2" s="63">
        <f t="shared" si="3"/>
      </c>
      <c r="HU2" s="63">
        <f t="shared" si="3"/>
      </c>
      <c r="HV2" s="63">
        <f t="shared" si="3"/>
      </c>
      <c r="HW2" s="63">
        <f t="shared" si="3"/>
      </c>
      <c r="HX2" s="63">
        <f t="shared" si="3"/>
      </c>
      <c r="HY2" s="63">
        <f t="shared" si="3"/>
      </c>
      <c r="HZ2" s="63">
        <f t="shared" si="3"/>
      </c>
      <c r="IA2" s="63">
        <f t="shared" si="3"/>
      </c>
      <c r="IB2" s="63">
        <f t="shared" si="3"/>
      </c>
      <c r="IC2" s="63">
        <f t="shared" si="3"/>
      </c>
      <c r="ID2" s="63">
        <f t="shared" si="3"/>
      </c>
      <c r="IE2" s="63">
        <f t="shared" si="3"/>
      </c>
      <c r="IF2" s="63">
        <f t="shared" si="3"/>
      </c>
      <c r="IG2" s="63">
        <f t="shared" si="3"/>
      </c>
      <c r="IH2" s="63">
        <f t="shared" si="3"/>
      </c>
      <c r="II2" s="63">
        <f t="shared" si="3"/>
      </c>
      <c r="IJ2" s="63">
        <f t="shared" si="3"/>
      </c>
      <c r="IK2" s="63">
        <f t="shared" si="3"/>
      </c>
      <c r="IL2" s="63">
        <f t="shared" si="3"/>
      </c>
      <c r="IM2" s="63">
        <f t="shared" si="3"/>
      </c>
      <c r="IN2" s="63">
        <f t="shared" si="3"/>
      </c>
      <c r="IO2" s="63">
        <f t="shared" si="3"/>
      </c>
      <c r="IP2" s="63">
        <f t="shared" si="3"/>
      </c>
      <c r="IQ2" s="63">
        <f t="shared" si="3"/>
      </c>
      <c r="IR2" s="63">
        <f t="shared" si="3"/>
      </c>
      <c r="IS2" s="63">
        <f t="shared" si="3"/>
      </c>
      <c r="IT2" s="63">
        <f t="shared" si="3"/>
      </c>
    </row>
    <row r="3" spans="1:219" s="14" customFormat="1" ht="12.75" customHeight="1">
      <c r="A3" s="12" t="s">
        <v>130</v>
      </c>
      <c r="B3" s="107" t="s">
        <v>131</v>
      </c>
      <c r="C3" s="107" t="s">
        <v>131</v>
      </c>
      <c r="D3" s="107" t="s">
        <v>131</v>
      </c>
      <c r="E3" s="107" t="s">
        <v>131</v>
      </c>
      <c r="F3" s="107" t="s">
        <v>131</v>
      </c>
      <c r="G3" s="107" t="s">
        <v>131</v>
      </c>
      <c r="H3" s="107" t="s">
        <v>131</v>
      </c>
      <c r="I3" s="107" t="s">
        <v>133</v>
      </c>
      <c r="J3" s="107" t="s">
        <v>131</v>
      </c>
      <c r="K3" s="107" t="s">
        <v>133</v>
      </c>
      <c r="L3" s="107" t="s">
        <v>131</v>
      </c>
      <c r="M3" s="107" t="s">
        <v>131</v>
      </c>
      <c r="N3" s="107" t="s">
        <v>133</v>
      </c>
      <c r="O3" s="107" t="s">
        <v>133</v>
      </c>
      <c r="P3" s="107" t="s">
        <v>132</v>
      </c>
      <c r="Q3" s="107" t="s">
        <v>133</v>
      </c>
      <c r="R3" s="107" t="s">
        <v>131</v>
      </c>
      <c r="S3" s="107" t="s">
        <v>132</v>
      </c>
      <c r="T3" s="107"/>
      <c r="U3" s="107" t="s">
        <v>131</v>
      </c>
      <c r="V3" s="107"/>
      <c r="W3" s="107"/>
      <c r="X3" s="107"/>
      <c r="Y3" s="107"/>
      <c r="Z3" s="107"/>
      <c r="AA3" s="107"/>
      <c r="AB3" s="107"/>
      <c r="AC3" s="107"/>
      <c r="AD3" s="107"/>
      <c r="AE3" s="107"/>
      <c r="AF3" s="107"/>
      <c r="AG3" s="107"/>
      <c r="AH3" s="107"/>
      <c r="AI3" s="107"/>
      <c r="AJ3" s="107"/>
      <c r="AK3" s="107"/>
      <c r="AL3" s="107"/>
      <c r="AM3" s="107"/>
      <c r="AN3" s="107"/>
      <c r="AO3" s="107"/>
      <c r="AP3" s="107"/>
      <c r="AQ3" s="107"/>
      <c r="AR3" s="107"/>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row>
    <row r="4" spans="1:219" s="14" customFormat="1" ht="76.5">
      <c r="A4" s="12" t="s">
        <v>136</v>
      </c>
      <c r="B4" s="108" t="s">
        <v>561</v>
      </c>
      <c r="C4" s="107" t="s">
        <v>562</v>
      </c>
      <c r="D4" s="108" t="s">
        <v>563</v>
      </c>
      <c r="E4" s="108" t="s">
        <v>564</v>
      </c>
      <c r="F4" s="108" t="s">
        <v>565</v>
      </c>
      <c r="G4" s="107" t="s">
        <v>566</v>
      </c>
      <c r="H4" s="107" t="s">
        <v>567</v>
      </c>
      <c r="I4" s="108" t="s">
        <v>568</v>
      </c>
      <c r="J4" s="108" t="s">
        <v>569</v>
      </c>
      <c r="K4" s="108" t="s">
        <v>570</v>
      </c>
      <c r="L4" s="108" t="s">
        <v>571</v>
      </c>
      <c r="M4" s="108" t="s">
        <v>572</v>
      </c>
      <c r="N4" s="108" t="s">
        <v>187</v>
      </c>
      <c r="O4" s="108" t="s">
        <v>573</v>
      </c>
      <c r="P4" s="109" t="s">
        <v>574</v>
      </c>
      <c r="Q4" s="108" t="s">
        <v>575</v>
      </c>
      <c r="R4" s="108" t="s">
        <v>649</v>
      </c>
      <c r="S4" s="108" t="s">
        <v>658</v>
      </c>
      <c r="T4" s="107" t="s">
        <v>810</v>
      </c>
      <c r="U4" s="315" t="s">
        <v>903</v>
      </c>
      <c r="V4" s="107"/>
      <c r="W4" s="107"/>
      <c r="X4" s="107"/>
      <c r="Y4" s="107"/>
      <c r="Z4" s="107"/>
      <c r="AA4" s="107"/>
      <c r="AB4" s="107"/>
      <c r="AC4" s="107"/>
      <c r="AD4" s="107"/>
      <c r="AE4" s="107"/>
      <c r="AF4" s="107"/>
      <c r="AG4" s="107"/>
      <c r="AH4" s="107"/>
      <c r="AI4" s="108"/>
      <c r="AJ4" s="108"/>
      <c r="AK4" s="108"/>
      <c r="AL4" s="107"/>
      <c r="AM4" s="107"/>
      <c r="AN4" s="107"/>
      <c r="AO4" s="107"/>
      <c r="AP4" s="107"/>
      <c r="AQ4" s="107"/>
      <c r="AR4" s="107"/>
      <c r="AZ4" s="18"/>
      <c r="BA4" s="18"/>
      <c r="BB4" s="18"/>
      <c r="BC4" s="18"/>
      <c r="BD4" s="18"/>
      <c r="BE4" s="18"/>
      <c r="BF4" s="18"/>
      <c r="GJ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row>
    <row r="5" spans="1:219" s="96" customFormat="1" ht="12.75">
      <c r="A5" s="95" t="s">
        <v>137</v>
      </c>
      <c r="B5" s="110" t="s">
        <v>576</v>
      </c>
      <c r="C5" s="111" t="s">
        <v>577</v>
      </c>
      <c r="D5" s="110" t="s">
        <v>577</v>
      </c>
      <c r="E5" s="111" t="s">
        <v>578</v>
      </c>
      <c r="F5" s="110" t="s">
        <v>577</v>
      </c>
      <c r="G5" s="110" t="s">
        <v>579</v>
      </c>
      <c r="H5" s="110" t="s">
        <v>580</v>
      </c>
      <c r="I5" s="111" t="s">
        <v>581</v>
      </c>
      <c r="J5" s="110" t="s">
        <v>582</v>
      </c>
      <c r="K5" s="111" t="s">
        <v>577</v>
      </c>
      <c r="L5" s="110" t="s">
        <v>583</v>
      </c>
      <c r="M5" s="111" t="s">
        <v>584</v>
      </c>
      <c r="N5" s="110" t="s">
        <v>585</v>
      </c>
      <c r="O5" s="111" t="s">
        <v>586</v>
      </c>
      <c r="P5" s="110" t="s">
        <v>577</v>
      </c>
      <c r="Q5" s="111" t="s">
        <v>587</v>
      </c>
      <c r="R5" s="111" t="s">
        <v>650</v>
      </c>
      <c r="S5" s="111" t="s">
        <v>659</v>
      </c>
      <c r="T5" s="110" t="s">
        <v>811</v>
      </c>
      <c r="U5" s="316" t="s">
        <v>904</v>
      </c>
      <c r="V5" s="110"/>
      <c r="W5" s="110"/>
      <c r="X5" s="110"/>
      <c r="Y5" s="110"/>
      <c r="Z5" s="110"/>
      <c r="AA5" s="110"/>
      <c r="AB5" s="110"/>
      <c r="AC5" s="110"/>
      <c r="AD5" s="110"/>
      <c r="AE5" s="110"/>
      <c r="AF5" s="110"/>
      <c r="AG5" s="110"/>
      <c r="AH5" s="110"/>
      <c r="AI5" s="110"/>
      <c r="AJ5" s="110"/>
      <c r="AK5" s="110"/>
      <c r="AL5" s="110"/>
      <c r="AM5" s="110"/>
      <c r="AN5" s="110"/>
      <c r="AO5" s="110"/>
      <c r="AP5" s="110"/>
      <c r="AQ5" s="110"/>
      <c r="AR5" s="110"/>
      <c r="DX5" s="97"/>
      <c r="GL5" s="98"/>
      <c r="GM5" s="98"/>
      <c r="GN5" s="98"/>
      <c r="GO5" s="98"/>
      <c r="GP5" s="98"/>
      <c r="GQ5" s="98"/>
      <c r="GR5" s="98"/>
      <c r="GS5" s="98"/>
      <c r="GT5" s="98"/>
      <c r="GU5" s="98"/>
      <c r="GV5" s="98"/>
      <c r="GW5" s="98"/>
      <c r="GX5" s="98"/>
      <c r="GY5" s="98"/>
      <c r="GZ5" s="98"/>
      <c r="HA5" s="98"/>
      <c r="HB5" s="98"/>
      <c r="HC5" s="98"/>
      <c r="HD5" s="98"/>
      <c r="HE5" s="98"/>
      <c r="HF5" s="99"/>
      <c r="HG5" s="98"/>
      <c r="HH5" s="98"/>
      <c r="HI5" s="98"/>
      <c r="HJ5" s="98"/>
      <c r="HK5" s="98"/>
    </row>
    <row r="6" spans="1:219" s="96" customFormat="1" ht="12.75" customHeight="1">
      <c r="A6" s="95" t="s">
        <v>138</v>
      </c>
      <c r="B6" s="110"/>
      <c r="C6" s="110"/>
      <c r="D6" s="110"/>
      <c r="E6" s="110"/>
      <c r="F6" s="110"/>
      <c r="G6" s="110" t="s">
        <v>588</v>
      </c>
      <c r="H6" s="110"/>
      <c r="I6" s="110"/>
      <c r="J6" s="110"/>
      <c r="K6" s="110"/>
      <c r="L6" s="110"/>
      <c r="M6" s="110" t="s">
        <v>589</v>
      </c>
      <c r="N6" s="110" t="s">
        <v>590</v>
      </c>
      <c r="O6" s="110"/>
      <c r="P6" s="110"/>
      <c r="Q6" s="110" t="s">
        <v>591</v>
      </c>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row>
    <row r="7" spans="1:219" s="16" customFormat="1" ht="12.75" customHeight="1">
      <c r="A7" s="12" t="s">
        <v>139</v>
      </c>
      <c r="B7" s="112" t="s">
        <v>199</v>
      </c>
      <c r="C7" s="112" t="s">
        <v>164</v>
      </c>
      <c r="D7" s="112" t="s">
        <v>199</v>
      </c>
      <c r="E7" s="113" t="s">
        <v>199</v>
      </c>
      <c r="F7" s="112" t="s">
        <v>196</v>
      </c>
      <c r="G7" s="112" t="s">
        <v>592</v>
      </c>
      <c r="H7" s="112" t="s">
        <v>199</v>
      </c>
      <c r="I7" s="113" t="s">
        <v>199</v>
      </c>
      <c r="J7" s="112" t="s">
        <v>593</v>
      </c>
      <c r="K7" s="113" t="s">
        <v>163</v>
      </c>
      <c r="L7" s="112" t="s">
        <v>196</v>
      </c>
      <c r="M7" s="112" t="s">
        <v>188</v>
      </c>
      <c r="N7" s="112" t="s">
        <v>163</v>
      </c>
      <c r="O7" s="112" t="s">
        <v>594</v>
      </c>
      <c r="P7" s="112" t="s">
        <v>595</v>
      </c>
      <c r="Q7" s="112" t="s">
        <v>596</v>
      </c>
      <c r="R7" s="112" t="s">
        <v>163</v>
      </c>
      <c r="S7" s="113" t="s">
        <v>196</v>
      </c>
      <c r="T7" s="112" t="s">
        <v>812</v>
      </c>
      <c r="U7" s="317" t="s">
        <v>905</v>
      </c>
      <c r="V7" s="112"/>
      <c r="W7" s="112"/>
      <c r="X7" s="112"/>
      <c r="Y7" s="112"/>
      <c r="Z7" s="112"/>
      <c r="AA7" s="112"/>
      <c r="AB7" s="112"/>
      <c r="AC7" s="112"/>
      <c r="AD7" s="112"/>
      <c r="AE7" s="112"/>
      <c r="AF7" s="112"/>
      <c r="AG7" s="112"/>
      <c r="AH7" s="112"/>
      <c r="AI7" s="112"/>
      <c r="AJ7" s="112"/>
      <c r="AK7" s="112"/>
      <c r="AL7" s="112"/>
      <c r="AM7" s="112"/>
      <c r="AN7" s="112"/>
      <c r="AO7" s="112"/>
      <c r="AP7" s="112"/>
      <c r="AQ7" s="112"/>
      <c r="AR7" s="112"/>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row>
    <row r="8" spans="1:219" s="16" customFormat="1" ht="12.75" customHeight="1">
      <c r="A8" s="12" t="s">
        <v>152</v>
      </c>
      <c r="B8" s="112" t="s">
        <v>597</v>
      </c>
      <c r="C8" s="112" t="s">
        <v>598</v>
      </c>
      <c r="D8" s="112"/>
      <c r="E8" s="112"/>
      <c r="F8" s="113" t="s">
        <v>599</v>
      </c>
      <c r="G8" s="112" t="s">
        <v>600</v>
      </c>
      <c r="H8" s="112" t="s">
        <v>601</v>
      </c>
      <c r="I8" s="112" t="s">
        <v>602</v>
      </c>
      <c r="J8" s="112" t="s">
        <v>603</v>
      </c>
      <c r="K8" s="113" t="s">
        <v>604</v>
      </c>
      <c r="L8" s="112" t="s">
        <v>605</v>
      </c>
      <c r="M8" s="112" t="s">
        <v>606</v>
      </c>
      <c r="N8" s="112"/>
      <c r="O8" s="112"/>
      <c r="P8" s="112"/>
      <c r="Q8" s="112"/>
      <c r="R8" s="112" t="s">
        <v>651</v>
      </c>
      <c r="S8" s="113" t="s">
        <v>660</v>
      </c>
      <c r="T8" s="112" t="s">
        <v>813</v>
      </c>
      <c r="U8" s="317" t="s">
        <v>906</v>
      </c>
      <c r="V8" s="112"/>
      <c r="W8" s="112"/>
      <c r="X8" s="112"/>
      <c r="Y8" s="112"/>
      <c r="Z8" s="112"/>
      <c r="AA8" s="112"/>
      <c r="AB8" s="112"/>
      <c r="AC8" s="112"/>
      <c r="AD8" s="112"/>
      <c r="AE8" s="112"/>
      <c r="AF8" s="112"/>
      <c r="AG8" s="112"/>
      <c r="AH8" s="112"/>
      <c r="AI8" s="112"/>
      <c r="AJ8" s="112"/>
      <c r="AK8" s="112"/>
      <c r="AL8" s="112"/>
      <c r="AM8" s="112"/>
      <c r="AN8" s="112"/>
      <c r="AO8" s="112"/>
      <c r="AP8" s="112"/>
      <c r="AQ8" s="112"/>
      <c r="AR8" s="112"/>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row>
    <row r="9" spans="1:219" s="96" customFormat="1" ht="12.75" customHeight="1">
      <c r="A9" s="95" t="s">
        <v>140</v>
      </c>
      <c r="B9" s="110" t="s">
        <v>607</v>
      </c>
      <c r="C9" s="110" t="s">
        <v>195</v>
      </c>
      <c r="D9" s="111" t="s">
        <v>195</v>
      </c>
      <c r="E9" s="111" t="s">
        <v>195</v>
      </c>
      <c r="F9" s="110" t="s">
        <v>195</v>
      </c>
      <c r="G9" s="110" t="s">
        <v>195</v>
      </c>
      <c r="H9" s="110" t="s">
        <v>195</v>
      </c>
      <c r="I9" s="114" t="s">
        <v>195</v>
      </c>
      <c r="J9" s="110" t="s">
        <v>195</v>
      </c>
      <c r="K9" s="111" t="s">
        <v>195</v>
      </c>
      <c r="L9" s="111" t="s">
        <v>195</v>
      </c>
      <c r="M9" s="111" t="s">
        <v>190</v>
      </c>
      <c r="N9" s="110" t="s">
        <v>189</v>
      </c>
      <c r="O9" s="110" t="s">
        <v>195</v>
      </c>
      <c r="P9" s="110" t="s">
        <v>195</v>
      </c>
      <c r="Q9" s="110" t="s">
        <v>195</v>
      </c>
      <c r="R9" s="110" t="s">
        <v>195</v>
      </c>
      <c r="S9" s="111" t="s">
        <v>195</v>
      </c>
      <c r="T9" s="110"/>
      <c r="U9" s="316" t="s">
        <v>907</v>
      </c>
      <c r="V9" s="110"/>
      <c r="W9" s="110"/>
      <c r="X9" s="110"/>
      <c r="Y9" s="110"/>
      <c r="Z9" s="110"/>
      <c r="AA9" s="110"/>
      <c r="AB9" s="110"/>
      <c r="AC9" s="110"/>
      <c r="AD9" s="110"/>
      <c r="AE9" s="110"/>
      <c r="AF9" s="110"/>
      <c r="AG9" s="110"/>
      <c r="AH9" s="110"/>
      <c r="AI9" s="110"/>
      <c r="AJ9" s="110"/>
      <c r="AK9" s="110"/>
      <c r="AL9" s="110"/>
      <c r="AM9" s="110"/>
      <c r="AN9" s="110"/>
      <c r="AO9" s="110"/>
      <c r="AP9" s="110"/>
      <c r="AQ9" s="110"/>
      <c r="AR9" s="110"/>
      <c r="BH9" s="97"/>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row>
    <row r="10" spans="1:219" s="96" customFormat="1" ht="12.75" customHeight="1">
      <c r="A10" s="95" t="s">
        <v>141</v>
      </c>
      <c r="B10" s="110" t="s">
        <v>576</v>
      </c>
      <c r="C10" s="110" t="s">
        <v>608</v>
      </c>
      <c r="D10" s="110" t="s">
        <v>608</v>
      </c>
      <c r="E10" s="110" t="s">
        <v>578</v>
      </c>
      <c r="F10" s="110" t="s">
        <v>608</v>
      </c>
      <c r="G10" s="110" t="s">
        <v>609</v>
      </c>
      <c r="H10" s="110" t="s">
        <v>610</v>
      </c>
      <c r="I10" s="111" t="s">
        <v>611</v>
      </c>
      <c r="J10" s="110" t="s">
        <v>612</v>
      </c>
      <c r="K10" s="110" t="s">
        <v>613</v>
      </c>
      <c r="L10" s="110" t="s">
        <v>610</v>
      </c>
      <c r="M10" s="110" t="s">
        <v>608</v>
      </c>
      <c r="N10" s="110" t="s">
        <v>189</v>
      </c>
      <c r="O10" s="110" t="s">
        <v>614</v>
      </c>
      <c r="P10" s="110" t="s">
        <v>608</v>
      </c>
      <c r="Q10" s="110" t="s">
        <v>615</v>
      </c>
      <c r="R10" s="110"/>
      <c r="S10" s="111" t="s">
        <v>661</v>
      </c>
      <c r="T10" s="110"/>
      <c r="U10" s="316" t="s">
        <v>608</v>
      </c>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row>
    <row r="11" spans="1:219" s="16" customFormat="1" ht="12.75" customHeight="1">
      <c r="A11" s="12" t="s">
        <v>142</v>
      </c>
      <c r="B11" s="112"/>
      <c r="C11" s="112"/>
      <c r="D11" s="112"/>
      <c r="E11" s="112"/>
      <c r="F11" s="112"/>
      <c r="G11" s="112"/>
      <c r="H11" s="112"/>
      <c r="I11" s="112"/>
      <c r="J11" s="112"/>
      <c r="K11" s="113"/>
      <c r="L11" s="112"/>
      <c r="M11" s="112"/>
      <c r="N11" s="112" t="s">
        <v>191</v>
      </c>
      <c r="O11" s="112"/>
      <c r="P11" s="113"/>
      <c r="Q11" s="112"/>
      <c r="R11" s="112"/>
      <c r="S11" s="112"/>
      <c r="T11" s="112"/>
      <c r="U11" s="317" t="s">
        <v>908</v>
      </c>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row>
    <row r="12" spans="1:219" s="16" customFormat="1" ht="24.75" customHeight="1">
      <c r="A12" s="12" t="s">
        <v>143</v>
      </c>
      <c r="B12" s="112"/>
      <c r="C12" s="112"/>
      <c r="D12" s="112"/>
      <c r="E12" s="112"/>
      <c r="F12" s="112"/>
      <c r="G12" s="112"/>
      <c r="H12" s="112"/>
      <c r="I12" s="112"/>
      <c r="J12" s="112"/>
      <c r="K12" s="113"/>
      <c r="L12" s="112"/>
      <c r="M12" s="112"/>
      <c r="N12" s="112"/>
      <c r="O12" s="112"/>
      <c r="P12" s="113"/>
      <c r="Q12" s="112"/>
      <c r="R12" s="112"/>
      <c r="S12" s="112"/>
      <c r="T12" s="112"/>
      <c r="U12" s="317" t="s">
        <v>909</v>
      </c>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row>
    <row r="13" spans="1:219" s="96" customFormat="1" ht="12.75" customHeight="1">
      <c r="A13" s="95" t="s">
        <v>144</v>
      </c>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row>
    <row r="14" spans="1:219" s="96" customFormat="1" ht="12.75" customHeight="1">
      <c r="A14" s="95" t="s">
        <v>145</v>
      </c>
      <c r="B14" s="110"/>
      <c r="C14" s="110"/>
      <c r="D14" s="110"/>
      <c r="E14" s="110"/>
      <c r="F14" s="111"/>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row>
    <row r="15" spans="1:219" s="14" customFormat="1" ht="12.75" customHeight="1">
      <c r="A15" s="12" t="s">
        <v>146</v>
      </c>
      <c r="B15" s="107"/>
      <c r="C15" s="107"/>
      <c r="D15" s="107"/>
      <c r="E15" s="107"/>
      <c r="F15" s="107" t="s">
        <v>616</v>
      </c>
      <c r="G15" s="107"/>
      <c r="H15" s="107"/>
      <c r="I15" s="107"/>
      <c r="J15" s="107"/>
      <c r="K15" s="107"/>
      <c r="L15" s="107"/>
      <c r="M15" s="107"/>
      <c r="N15" s="107" t="s">
        <v>192</v>
      </c>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row>
    <row r="16" spans="1:219" s="16" customFormat="1" ht="12.75" customHeight="1">
      <c r="A16" s="12" t="s">
        <v>147</v>
      </c>
      <c r="B16" s="112"/>
      <c r="C16" s="112"/>
      <c r="D16" s="112"/>
      <c r="E16" s="112"/>
      <c r="F16" s="112"/>
      <c r="G16" s="112"/>
      <c r="H16" s="112"/>
      <c r="I16" s="112"/>
      <c r="J16" s="112"/>
      <c r="K16" s="112"/>
      <c r="L16" s="112"/>
      <c r="M16" s="112"/>
      <c r="N16" s="112" t="s">
        <v>193</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CL16" s="14"/>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row>
    <row r="17" spans="1:219" s="100" customFormat="1" ht="12.75" customHeight="1">
      <c r="A17" s="95" t="s">
        <v>148</v>
      </c>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row>
    <row r="18" spans="1:219" s="100" customFormat="1" ht="12.75" customHeight="1">
      <c r="A18" s="95" t="s">
        <v>153</v>
      </c>
      <c r="B18" s="115"/>
      <c r="C18" s="115" t="s">
        <v>617</v>
      </c>
      <c r="D18" s="115"/>
      <c r="E18" s="115"/>
      <c r="F18" s="115"/>
      <c r="G18" s="115"/>
      <c r="H18" s="115"/>
      <c r="I18" s="115"/>
      <c r="J18" s="115"/>
      <c r="K18" s="115" t="s">
        <v>618</v>
      </c>
      <c r="L18" s="115" t="s">
        <v>619</v>
      </c>
      <c r="M18" s="115" t="s">
        <v>620</v>
      </c>
      <c r="N18" s="115"/>
      <c r="O18" s="115" t="s">
        <v>621</v>
      </c>
      <c r="P18" s="116"/>
      <c r="Q18" s="115"/>
      <c r="R18" s="115"/>
      <c r="S18" s="115"/>
      <c r="T18" s="115"/>
      <c r="U18" s="318" t="s">
        <v>910</v>
      </c>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GL18" s="101"/>
      <c r="GM18" s="101"/>
      <c r="GN18" s="101"/>
      <c r="GO18" s="101"/>
      <c r="GP18" s="101"/>
      <c r="GQ18" s="101"/>
      <c r="GR18" s="101"/>
      <c r="GS18" s="101"/>
      <c r="GT18" s="101"/>
      <c r="GU18" s="101"/>
      <c r="GV18" s="101"/>
      <c r="GW18" s="101"/>
      <c r="GX18" s="101"/>
      <c r="GY18" s="101"/>
      <c r="GZ18" s="101"/>
      <c r="HA18" s="101"/>
      <c r="HB18" s="101"/>
      <c r="HC18" s="101"/>
      <c r="HD18" s="101"/>
      <c r="HE18" s="101"/>
      <c r="HF18" s="101"/>
      <c r="HG18" s="101"/>
      <c r="HH18" s="101"/>
      <c r="HI18" s="101"/>
      <c r="HJ18" s="101"/>
      <c r="HK18" s="101"/>
    </row>
    <row r="19" spans="1:219" s="14" customFormat="1" ht="12.75" customHeight="1">
      <c r="A19" s="12" t="s">
        <v>149</v>
      </c>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row>
    <row r="20" spans="1:219" s="92" customFormat="1" ht="12.75" customHeight="1">
      <c r="A20" s="90" t="s">
        <v>150</v>
      </c>
      <c r="B20" s="117" t="s">
        <v>339</v>
      </c>
      <c r="C20" t="s">
        <v>622</v>
      </c>
      <c r="D20" t="s">
        <v>623</v>
      </c>
      <c r="E20" t="s">
        <v>624</v>
      </c>
      <c r="F20" s="48" t="s">
        <v>285</v>
      </c>
      <c r="G20" s="107"/>
      <c r="H20" s="117" t="s">
        <v>625</v>
      </c>
      <c r="I20" s="48" t="s">
        <v>626</v>
      </c>
      <c r="J20" s="48" t="s">
        <v>285</v>
      </c>
      <c r="K20" s="107" t="s">
        <v>627</v>
      </c>
      <c r="L20" t="s">
        <v>628</v>
      </c>
      <c r="M20" s="48" t="s">
        <v>285</v>
      </c>
      <c r="N20" s="48" t="s">
        <v>285</v>
      </c>
      <c r="O20" t="s">
        <v>629</v>
      </c>
      <c r="P20" t="s">
        <v>630</v>
      </c>
      <c r="Q20" s="48" t="s">
        <v>631</v>
      </c>
      <c r="R20" s="48" t="s">
        <v>285</v>
      </c>
      <c r="S20" s="107" t="s">
        <v>662</v>
      </c>
      <c r="T20" s="107"/>
      <c r="U20" s="117" t="s">
        <v>911</v>
      </c>
      <c r="V20" s="117"/>
      <c r="W20" s="117"/>
      <c r="X20" s="117"/>
      <c r="Y20" s="117"/>
      <c r="Z20" s="117"/>
      <c r="AA20" s="117"/>
      <c r="AB20" s="117"/>
      <c r="AC20" s="117"/>
      <c r="AD20" s="107"/>
      <c r="AE20" s="117"/>
      <c r="AF20" s="117"/>
      <c r="AG20" s="117"/>
      <c r="AH20" s="117"/>
      <c r="AI20" s="117"/>
      <c r="AJ20" s="117"/>
      <c r="AK20" s="117"/>
      <c r="AL20" s="117"/>
      <c r="AM20" s="117"/>
      <c r="AN20" s="117"/>
      <c r="AO20" s="117"/>
      <c r="AP20" s="117"/>
      <c r="AQ20" s="117"/>
      <c r="AR20" s="117"/>
      <c r="AS20" s="91"/>
      <c r="AT20" s="91"/>
      <c r="AU20" s="91"/>
      <c r="AV20" s="91"/>
      <c r="AW20" s="91"/>
      <c r="AX20" s="91"/>
      <c r="AY20" s="91"/>
      <c r="AZ20" s="91"/>
      <c r="BA20" s="91"/>
      <c r="BB20" s="91"/>
      <c r="BC20" s="14"/>
      <c r="BD20" s="91"/>
      <c r="BE20" s="91"/>
      <c r="BF20" s="91"/>
      <c r="BG20" s="91"/>
      <c r="BH20" s="91"/>
      <c r="BI20" s="91"/>
      <c r="BJ20" s="91"/>
      <c r="BK20" s="91"/>
      <c r="BL20" s="91"/>
      <c r="BM20" s="91"/>
      <c r="BN20" s="91"/>
      <c r="BO20" s="91"/>
      <c r="BP20" s="91"/>
      <c r="BQ20" s="91"/>
      <c r="BR20" s="91"/>
      <c r="BS20" s="91"/>
      <c r="BT20" s="91"/>
      <c r="BU20" s="91"/>
      <c r="BV20" s="91"/>
      <c r="BW20" s="91"/>
      <c r="BX20" s="91"/>
      <c r="BY20" s="14"/>
      <c r="BZ20" s="14"/>
      <c r="CA20" s="14"/>
      <c r="CB20" s="14"/>
      <c r="CC20" s="14"/>
      <c r="CD20" s="14"/>
      <c r="CE20" s="14"/>
      <c r="CF20" s="14"/>
      <c r="CG20" s="91"/>
      <c r="CH20" s="91"/>
      <c r="CI20" s="91"/>
      <c r="CJ20" s="91"/>
      <c r="CK20" s="91"/>
      <c r="CL20" s="91"/>
      <c r="CM20" s="91"/>
      <c r="CN20" s="91"/>
      <c r="CO20" s="91"/>
      <c r="CP20" s="91"/>
      <c r="CQ20" s="91"/>
      <c r="CR20" s="91"/>
      <c r="CS20" s="14"/>
      <c r="CT20" s="91"/>
      <c r="CU20" s="91"/>
      <c r="CV20" s="14"/>
      <c r="CW20" s="91"/>
      <c r="CX20" s="91"/>
      <c r="CY20" s="91"/>
      <c r="CZ20" s="91"/>
      <c r="DA20" s="91"/>
      <c r="DB20" s="91"/>
      <c r="DC20" s="91"/>
      <c r="DD20" s="91"/>
      <c r="DE20" s="14"/>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14"/>
      <c r="EE20" s="14"/>
      <c r="EF20" s="14"/>
      <c r="EG20" s="14"/>
      <c r="EH20" s="14"/>
      <c r="EI20" s="14"/>
      <c r="EJ20" s="14"/>
      <c r="EK20" s="14"/>
      <c r="EL20" s="14"/>
      <c r="EM20" s="14"/>
      <c r="EN20" s="14"/>
      <c r="EO20" s="14"/>
      <c r="EP20" s="14"/>
      <c r="EQ20" s="14"/>
      <c r="ER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93"/>
      <c r="GM20" s="15"/>
      <c r="GN20" s="93"/>
      <c r="GO20" s="15"/>
      <c r="GP20" s="15"/>
      <c r="GQ20" s="15"/>
      <c r="GR20" s="93"/>
      <c r="GS20" s="93"/>
      <c r="GT20" s="93"/>
      <c r="GU20" s="15"/>
      <c r="GV20" s="93"/>
      <c r="GW20" s="93"/>
      <c r="GX20" s="93"/>
      <c r="GY20" s="94"/>
      <c r="GZ20" s="93"/>
      <c r="HA20" s="93"/>
      <c r="HB20" s="93"/>
      <c r="HC20" s="93"/>
      <c r="HD20" s="93"/>
      <c r="HE20" s="93"/>
      <c r="HF20" s="93"/>
      <c r="HG20" s="93"/>
      <c r="HH20" s="93"/>
      <c r="HI20" s="94"/>
      <c r="HJ20" s="93"/>
      <c r="HK20" s="93"/>
    </row>
    <row r="21" spans="1:219" s="96" customFormat="1" ht="12.75" customHeight="1">
      <c r="A21" s="95" t="s">
        <v>68</v>
      </c>
      <c r="B21" s="110"/>
      <c r="C21" s="110" t="s">
        <v>125</v>
      </c>
      <c r="D21" s="110" t="s">
        <v>124</v>
      </c>
      <c r="E21" s="110" t="s">
        <v>122</v>
      </c>
      <c r="F21" s="110" t="s">
        <v>124</v>
      </c>
      <c r="G21" s="110" t="s">
        <v>122</v>
      </c>
      <c r="H21" s="110" t="s">
        <v>123</v>
      </c>
      <c r="I21" s="110" t="s">
        <v>122</v>
      </c>
      <c r="J21" s="110" t="s">
        <v>124</v>
      </c>
      <c r="K21" s="110" t="s">
        <v>124</v>
      </c>
      <c r="L21" s="110" t="s">
        <v>124</v>
      </c>
      <c r="M21" s="110" t="s">
        <v>123</v>
      </c>
      <c r="N21" s="110" t="s">
        <v>123</v>
      </c>
      <c r="O21" s="110" t="s">
        <v>123</v>
      </c>
      <c r="P21" s="110" t="s">
        <v>123</v>
      </c>
      <c r="Q21" s="110" t="s">
        <v>123</v>
      </c>
      <c r="R21" s="110" t="s">
        <v>123</v>
      </c>
      <c r="S21" s="110" t="s">
        <v>122</v>
      </c>
      <c r="T21" s="110"/>
      <c r="U21" s="110" t="s">
        <v>123</v>
      </c>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row>
    <row r="22" spans="1:219" s="100" customFormat="1" ht="25.5">
      <c r="A22" s="95" t="s">
        <v>63</v>
      </c>
      <c r="B22" s="115">
        <v>2008</v>
      </c>
      <c r="C22" s="110" t="s">
        <v>592</v>
      </c>
      <c r="D22" s="115" t="s">
        <v>197</v>
      </c>
      <c r="E22" s="111">
        <v>2009</v>
      </c>
      <c r="F22" s="115" t="s">
        <v>196</v>
      </c>
      <c r="G22" s="115" t="s">
        <v>632</v>
      </c>
      <c r="H22" s="115" t="s">
        <v>633</v>
      </c>
      <c r="I22" s="118" t="s">
        <v>200</v>
      </c>
      <c r="J22" s="115" t="s">
        <v>593</v>
      </c>
      <c r="K22" s="118">
        <v>2005</v>
      </c>
      <c r="L22" s="115" t="s">
        <v>200</v>
      </c>
      <c r="M22" s="115" t="s">
        <v>188</v>
      </c>
      <c r="N22" s="115" t="s">
        <v>163</v>
      </c>
      <c r="O22" s="115" t="s">
        <v>188</v>
      </c>
      <c r="P22" s="118" t="s">
        <v>595</v>
      </c>
      <c r="Q22" s="115"/>
      <c r="R22" s="115" t="s">
        <v>164</v>
      </c>
      <c r="S22" s="118" t="s">
        <v>196</v>
      </c>
      <c r="T22" s="115"/>
      <c r="U22" s="318" t="s">
        <v>199</v>
      </c>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GL22" s="101"/>
      <c r="GM22" s="101"/>
      <c r="GN22" s="101"/>
      <c r="GO22" s="101"/>
      <c r="GP22" s="101"/>
      <c r="GQ22" s="101"/>
      <c r="GR22" s="101"/>
      <c r="GS22" s="101"/>
      <c r="GT22" s="101"/>
      <c r="GU22" s="101"/>
      <c r="GV22" s="101"/>
      <c r="GW22" s="101"/>
      <c r="GX22" s="101"/>
      <c r="GY22" s="101"/>
      <c r="GZ22" s="101"/>
      <c r="HA22" s="101"/>
      <c r="HB22" s="101"/>
      <c r="HC22" s="101"/>
      <c r="HD22" s="101"/>
      <c r="HE22" s="101"/>
      <c r="HF22" s="101"/>
      <c r="HG22" s="101"/>
      <c r="HH22" s="101"/>
      <c r="HI22" s="101"/>
      <c r="HJ22" s="101"/>
      <c r="HK22" s="101"/>
    </row>
    <row r="23" spans="1:219" s="16" customFormat="1" ht="25.5" customHeight="1">
      <c r="A23" s="12" t="s">
        <v>64</v>
      </c>
      <c r="B23" s="112" t="s">
        <v>634</v>
      </c>
      <c r="C23" s="107" t="s">
        <v>165</v>
      </c>
      <c r="D23" s="112" t="s">
        <v>165</v>
      </c>
      <c r="E23" s="108" t="s">
        <v>634</v>
      </c>
      <c r="F23" s="112" t="s">
        <v>634</v>
      </c>
      <c r="G23" s="112" t="s">
        <v>634</v>
      </c>
      <c r="H23" s="112" t="s">
        <v>291</v>
      </c>
      <c r="I23" s="107" t="s">
        <v>165</v>
      </c>
      <c r="J23" s="112" t="s">
        <v>198</v>
      </c>
      <c r="K23" s="108" t="s">
        <v>165</v>
      </c>
      <c r="L23" s="112" t="s">
        <v>291</v>
      </c>
      <c r="M23" s="112" t="s">
        <v>194</v>
      </c>
      <c r="N23" s="112" t="s">
        <v>165</v>
      </c>
      <c r="O23" s="112" t="s">
        <v>291</v>
      </c>
      <c r="P23" s="112" t="s">
        <v>291</v>
      </c>
      <c r="Q23" s="112" t="s">
        <v>165</v>
      </c>
      <c r="R23" s="112" t="s">
        <v>291</v>
      </c>
      <c r="S23" s="113" t="s">
        <v>291</v>
      </c>
      <c r="T23" s="112"/>
      <c r="U23" s="317" t="s">
        <v>165</v>
      </c>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row>
    <row r="24" spans="1:219" s="14" customFormat="1" ht="12.75" customHeight="1">
      <c r="A24" s="12" t="s">
        <v>65</v>
      </c>
      <c r="B24" s="107"/>
      <c r="C24" s="107" t="s">
        <v>291</v>
      </c>
      <c r="D24" s="107"/>
      <c r="E24" s="108"/>
      <c r="F24" s="107"/>
      <c r="G24" s="107"/>
      <c r="H24" s="107"/>
      <c r="I24" s="108"/>
      <c r="J24" s="107"/>
      <c r="K24" s="108"/>
      <c r="L24" s="107"/>
      <c r="M24" s="107"/>
      <c r="N24" s="107"/>
      <c r="O24" s="107"/>
      <c r="P24" s="107"/>
      <c r="Q24" s="107"/>
      <c r="R24" s="107"/>
      <c r="S24" s="107"/>
      <c r="T24" s="107"/>
      <c r="U24" s="315" t="s">
        <v>912</v>
      </c>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row>
    <row r="25" spans="1:219" s="96" customFormat="1" ht="153">
      <c r="A25" s="96" t="s">
        <v>66</v>
      </c>
      <c r="B25" s="111" t="s">
        <v>820</v>
      </c>
      <c r="C25" s="147" t="s">
        <v>821</v>
      </c>
      <c r="D25" s="111" t="s">
        <v>822</v>
      </c>
      <c r="E25" s="111" t="s">
        <v>823</v>
      </c>
      <c r="F25" s="111" t="s">
        <v>824</v>
      </c>
      <c r="G25" s="111" t="s">
        <v>825</v>
      </c>
      <c r="H25" s="111" t="s">
        <v>826</v>
      </c>
      <c r="I25" s="111" t="s">
        <v>827</v>
      </c>
      <c r="J25" s="111" t="s">
        <v>828</v>
      </c>
      <c r="K25" s="111" t="s">
        <v>829</v>
      </c>
      <c r="L25" s="111" t="s">
        <v>830</v>
      </c>
      <c r="M25" s="111" t="s">
        <v>831</v>
      </c>
      <c r="N25" s="111" t="s">
        <v>832</v>
      </c>
      <c r="O25" s="111" t="s">
        <v>833</v>
      </c>
      <c r="P25" s="111" t="s">
        <v>834</v>
      </c>
      <c r="Q25" s="111" t="s">
        <v>835</v>
      </c>
      <c r="R25" s="111" t="s">
        <v>836</v>
      </c>
      <c r="S25" s="111" t="s">
        <v>837</v>
      </c>
      <c r="T25" s="111" t="s">
        <v>838</v>
      </c>
      <c r="U25" s="111" t="s">
        <v>913</v>
      </c>
      <c r="V25" s="111"/>
      <c r="W25" s="111"/>
      <c r="X25" s="111"/>
      <c r="Y25" s="119"/>
      <c r="Z25" s="119"/>
      <c r="AA25" s="119"/>
      <c r="AB25" s="111"/>
      <c r="AC25" s="111"/>
      <c r="AD25" s="111"/>
      <c r="AE25" s="119"/>
      <c r="AF25" s="111"/>
      <c r="AG25" s="119"/>
      <c r="AH25" s="119"/>
      <c r="AI25" s="119"/>
      <c r="AJ25" s="119"/>
      <c r="AK25" s="119"/>
      <c r="AL25" s="119"/>
      <c r="AM25" s="111"/>
      <c r="AN25" s="119"/>
      <c r="AO25" s="119"/>
      <c r="AP25" s="119"/>
      <c r="AQ25" s="119"/>
      <c r="AR25" s="119"/>
      <c r="AS25" s="97"/>
      <c r="AT25" s="102"/>
      <c r="AU25" s="102"/>
      <c r="AV25" s="102"/>
      <c r="AW25" s="102"/>
      <c r="AX25" s="102"/>
      <c r="AY25" s="102"/>
      <c r="AZ25" s="102"/>
      <c r="BA25" s="102"/>
      <c r="BB25" s="102"/>
      <c r="BD25" s="97"/>
      <c r="BE25" s="97"/>
      <c r="BF25" s="97"/>
      <c r="BG25" s="97"/>
      <c r="BU25" s="102"/>
      <c r="EB25" s="97"/>
      <c r="EC25" s="97"/>
      <c r="GL25" s="98"/>
      <c r="GM25" s="98"/>
      <c r="GN25" s="98"/>
      <c r="GO25" s="98"/>
      <c r="GP25" s="98"/>
      <c r="GQ25" s="98"/>
      <c r="GR25" s="98"/>
      <c r="GS25" s="98"/>
      <c r="GT25" s="99"/>
      <c r="GU25" s="98"/>
      <c r="GV25" s="98"/>
      <c r="GW25" s="98"/>
      <c r="GX25" s="98"/>
      <c r="GY25" s="98"/>
      <c r="GZ25" s="98"/>
      <c r="HA25" s="98"/>
      <c r="HB25" s="98"/>
      <c r="HC25" s="98"/>
      <c r="HD25" s="98"/>
      <c r="HE25" s="98"/>
      <c r="HF25" s="98"/>
      <c r="HG25" s="98"/>
      <c r="HH25" s="98"/>
      <c r="HI25" s="98"/>
      <c r="HJ25" s="103"/>
      <c r="HK25" s="103"/>
    </row>
    <row r="26" spans="1:44" s="96" customFormat="1" ht="51">
      <c r="A26" s="95" t="s">
        <v>67</v>
      </c>
      <c r="B26" s="110" t="s">
        <v>635</v>
      </c>
      <c r="C26" s="110" t="s">
        <v>636</v>
      </c>
      <c r="D26" s="110"/>
      <c r="E26" s="110"/>
      <c r="F26" s="110"/>
      <c r="G26" s="110"/>
      <c r="H26" s="110"/>
      <c r="I26" s="110"/>
      <c r="J26" s="110"/>
      <c r="K26" s="111"/>
      <c r="L26" s="110"/>
      <c r="M26" s="110"/>
      <c r="N26" s="110"/>
      <c r="O26" s="110"/>
      <c r="P26" s="111"/>
      <c r="Q26" s="110"/>
      <c r="R26" s="110"/>
      <c r="S26" s="110"/>
      <c r="T26" s="110"/>
      <c r="U26" s="110" t="s">
        <v>914</v>
      </c>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row>
    <row r="27" spans="2:44" s="13" customFormat="1" ht="12.75" customHeight="1">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row>
    <row r="28" spans="2:44" s="13" customFormat="1" ht="12.75" customHeight="1">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row>
    <row r="29" spans="2:44" s="13" customFormat="1" ht="12.75" customHeight="1">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row>
    <row r="30" spans="2:44" s="13" customFormat="1" ht="12.75" customHeight="1">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row>
    <row r="31" spans="2:44" s="13" customFormat="1" ht="12.75" customHeight="1">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row>
    <row r="32" spans="2:44" s="13" customFormat="1" ht="12.75" customHeight="1">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row>
    <row r="33" spans="2:44" s="13" customFormat="1" ht="12.75" customHeight="1">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row>
    <row r="34" spans="2:44" s="13" customFormat="1" ht="12.75" customHeight="1">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row>
    <row r="35" spans="2:44" s="13" customFormat="1" ht="12.75" customHeight="1">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row>
    <row r="36" spans="2:44" s="13" customFormat="1" ht="12.75" customHeight="1">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row>
    <row r="37" spans="2:44" s="13" customFormat="1" ht="12.75" customHeight="1">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row>
    <row r="38" spans="2:44" s="13" customFormat="1" ht="12.75" customHeight="1">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row>
    <row r="39" spans="2:44" s="13" customFormat="1" ht="12.75" customHeight="1">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row>
    <row r="49" ht="12.75" customHeight="1">
      <c r="A49" s="166" t="s">
        <v>73</v>
      </c>
    </row>
    <row r="50" spans="2:44" s="11" customFormat="1" ht="12.75" customHeight="1">
      <c r="B50" s="122" t="s">
        <v>69</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row>
    <row r="51" ht="12.75" customHeight="1">
      <c r="B51" s="123" t="s">
        <v>127</v>
      </c>
    </row>
    <row r="52" ht="12.75" customHeight="1">
      <c r="B52" s="124" t="s">
        <v>132</v>
      </c>
    </row>
    <row r="53" ht="12.75" customHeight="1">
      <c r="B53" s="124" t="s">
        <v>133</v>
      </c>
    </row>
    <row r="54" ht="12.75" customHeight="1">
      <c r="B54" s="124" t="s">
        <v>134</v>
      </c>
    </row>
    <row r="55" ht="12.75" customHeight="1">
      <c r="B55" s="124" t="s">
        <v>131</v>
      </c>
    </row>
    <row r="56" ht="12.75" customHeight="1">
      <c r="B56" s="124" t="s">
        <v>70</v>
      </c>
    </row>
    <row r="57" ht="12.75" customHeight="1">
      <c r="B57" s="124" t="s">
        <v>135</v>
      </c>
    </row>
    <row r="58" ht="12.75" customHeight="1">
      <c r="B58" s="124" t="s">
        <v>71</v>
      </c>
    </row>
    <row r="59" ht="12.75" customHeight="1">
      <c r="B59" s="124" t="s">
        <v>72</v>
      </c>
    </row>
  </sheetData>
  <sheetProtection formatCells="0" insertHyperlinks="0"/>
  <dataValidations count="4">
    <dataValidation type="list" allowBlank="1" showInputMessage="1" showErrorMessage="1" prompt="Select from List." sqref="B3:GK3 HL3:IV3">
      <formula1>lstSourceType</formula1>
    </dataValidation>
    <dataValidation type="list" allowBlank="1" showInputMessage="1" showErrorMessage="1" prompt="Select from list." sqref="CL16 B19:IV19">
      <formula1>"Yes, No"</formula1>
    </dataValidation>
    <dataValidation type="list" allowBlank="1" showInputMessage="1" showErrorMessage="1" prompt="Select from list." sqref="B21:IV21">
      <formula1>lstOrigin</formula1>
    </dataValidation>
    <dataValidation type="list" allowBlank="1" showInputMessage="1" showErrorMessage="1" prompt="Select from List." sqref="GL3:HK3">
      <formula1>LstSourseType</formula1>
    </dataValidation>
  </dataValidations>
  <hyperlinks>
    <hyperlink ref="I9" r:id="rId1" display="http://www.epa.gov/ttn/chief/net/2005inventory.html"/>
  </hyperlinks>
  <printOptions/>
  <pageMargins left="0.25" right="0.25" top="0.5" bottom="0.5" header="0.3" footer="0.3"/>
  <pageSetup horizontalDpi="600" verticalDpi="600" orientation="landscape" scale="94" r:id="rId2"/>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2"/>
  <dimension ref="A1:AM53"/>
  <sheetViews>
    <sheetView zoomScalePageLayoutView="85" workbookViewId="0" topLeftCell="A1">
      <selection activeCell="A1" sqref="A1:K1"/>
    </sheetView>
  </sheetViews>
  <sheetFormatPr defaultColWidth="9.140625" defaultRowHeight="12.75"/>
  <cols>
    <col min="1" max="1" width="3.140625" style="0" customWidth="1"/>
    <col min="2" max="2" width="17.710937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25.28125" style="0" customWidth="1"/>
  </cols>
  <sheetData>
    <row r="1" spans="1:39" ht="20.25">
      <c r="A1" s="405" t="s">
        <v>216</v>
      </c>
      <c r="B1" s="405"/>
      <c r="C1" s="405"/>
      <c r="D1" s="405"/>
      <c r="E1" s="405"/>
      <c r="F1" s="405"/>
      <c r="G1" s="405"/>
      <c r="H1" s="405"/>
      <c r="I1" s="405"/>
      <c r="J1" s="405"/>
      <c r="K1" s="405"/>
      <c r="O1" s="50"/>
      <c r="P1" s="50"/>
      <c r="Q1" s="50"/>
      <c r="R1" s="50"/>
      <c r="S1" s="50"/>
      <c r="T1" s="50"/>
      <c r="U1" s="50"/>
      <c r="V1" s="50"/>
      <c r="W1" s="50"/>
      <c r="X1" s="50"/>
      <c r="Y1" s="50"/>
      <c r="Z1" s="50"/>
      <c r="AA1" s="50"/>
      <c r="AB1" s="50"/>
      <c r="AC1" s="50"/>
      <c r="AD1" s="50"/>
      <c r="AE1" s="50"/>
      <c r="AF1" s="50"/>
      <c r="AG1" s="50"/>
      <c r="AH1" s="50"/>
      <c r="AI1" s="50"/>
      <c r="AJ1" s="50"/>
      <c r="AK1" s="50"/>
      <c r="AL1" s="50"/>
      <c r="AM1" s="50"/>
    </row>
    <row r="2" spans="1:8" ht="30" customHeight="1">
      <c r="A2" s="76" t="s">
        <v>242</v>
      </c>
      <c r="C2" s="72"/>
      <c r="D2" s="72"/>
      <c r="E2" s="72"/>
      <c r="F2" s="72"/>
      <c r="G2" s="72"/>
      <c r="H2" s="72"/>
    </row>
    <row r="3" spans="2:11" s="124" customFormat="1" ht="40.5" customHeight="1">
      <c r="B3" s="132" t="s">
        <v>44</v>
      </c>
      <c r="C3" s="133" t="s">
        <v>264</v>
      </c>
      <c r="D3" s="133" t="s">
        <v>45</v>
      </c>
      <c r="E3" s="133" t="s">
        <v>112</v>
      </c>
      <c r="F3" s="133" t="s">
        <v>17</v>
      </c>
      <c r="G3" s="133" t="s">
        <v>23</v>
      </c>
      <c r="H3" s="133" t="s">
        <v>46</v>
      </c>
      <c r="I3" s="134" t="s">
        <v>47</v>
      </c>
      <c r="J3" s="133" t="s">
        <v>48</v>
      </c>
      <c r="K3" s="133" t="s">
        <v>49</v>
      </c>
    </row>
    <row r="4" spans="2:11" s="124" customFormat="1" ht="12.75">
      <c r="B4" s="133" t="s">
        <v>167</v>
      </c>
      <c r="C4" s="134" t="s">
        <v>265</v>
      </c>
      <c r="D4" s="133">
        <v>2</v>
      </c>
      <c r="E4" s="133">
        <v>2</v>
      </c>
      <c r="F4" s="133">
        <v>2</v>
      </c>
      <c r="G4" s="133">
        <v>1</v>
      </c>
      <c r="H4" s="133">
        <v>1</v>
      </c>
      <c r="I4" s="133" t="s">
        <v>51</v>
      </c>
      <c r="J4" s="133" t="s">
        <v>262</v>
      </c>
      <c r="K4" s="134" t="s">
        <v>243</v>
      </c>
    </row>
    <row r="5" spans="2:11" s="124" customFormat="1" ht="12.75">
      <c r="B5" s="134" t="s">
        <v>50</v>
      </c>
      <c r="C5" s="133" t="s">
        <v>266</v>
      </c>
      <c r="D5" s="135">
        <v>2</v>
      </c>
      <c r="E5" s="133">
        <v>2</v>
      </c>
      <c r="F5" s="133">
        <v>3</v>
      </c>
      <c r="G5" s="133">
        <v>2</v>
      </c>
      <c r="H5" s="133">
        <v>2</v>
      </c>
      <c r="I5" s="133" t="s">
        <v>62</v>
      </c>
      <c r="J5" s="133" t="s">
        <v>262</v>
      </c>
      <c r="K5" s="134" t="s">
        <v>243</v>
      </c>
    </row>
    <row r="6" spans="2:20" s="124" customFormat="1" ht="12.75">
      <c r="B6" s="134" t="s">
        <v>171</v>
      </c>
      <c r="C6" s="133" t="s">
        <v>267</v>
      </c>
      <c r="D6" s="133">
        <v>2</v>
      </c>
      <c r="E6" s="133">
        <v>2</v>
      </c>
      <c r="F6" s="133">
        <v>1</v>
      </c>
      <c r="G6" s="133">
        <v>1</v>
      </c>
      <c r="H6" s="133">
        <v>1</v>
      </c>
      <c r="I6" s="133" t="s">
        <v>52</v>
      </c>
      <c r="J6" s="133" t="s">
        <v>262</v>
      </c>
      <c r="K6" s="134" t="s">
        <v>243</v>
      </c>
      <c r="L6" s="395"/>
      <c r="M6" s="395"/>
      <c r="N6" s="395"/>
      <c r="O6" s="395"/>
      <c r="P6" s="395"/>
      <c r="Q6" s="395"/>
      <c r="R6" s="72"/>
      <c r="S6" s="72"/>
      <c r="T6" s="72"/>
    </row>
    <row r="7" spans="2:20" s="124" customFormat="1" ht="12.75">
      <c r="B7" s="134" t="s">
        <v>53</v>
      </c>
      <c r="C7" s="133" t="s">
        <v>268</v>
      </c>
      <c r="D7" s="133">
        <v>1</v>
      </c>
      <c r="E7" s="133">
        <v>2</v>
      </c>
      <c r="F7" s="133">
        <v>3</v>
      </c>
      <c r="G7" s="133">
        <v>2</v>
      </c>
      <c r="H7" s="133">
        <v>2</v>
      </c>
      <c r="I7" s="133" t="s">
        <v>273</v>
      </c>
      <c r="J7" s="133" t="s">
        <v>262</v>
      </c>
      <c r="K7" s="134" t="s">
        <v>243</v>
      </c>
      <c r="L7" s="72"/>
      <c r="M7" s="72"/>
      <c r="N7" s="72"/>
      <c r="O7" s="72"/>
      <c r="P7" s="72"/>
      <c r="Q7" s="72"/>
      <c r="R7" s="72"/>
      <c r="S7" s="72"/>
      <c r="T7" s="72"/>
    </row>
    <row r="8" spans="2:20" s="124" customFormat="1" ht="12.75">
      <c r="B8" s="134" t="s">
        <v>54</v>
      </c>
      <c r="C8" s="133" t="s">
        <v>269</v>
      </c>
      <c r="D8" s="133">
        <v>1</v>
      </c>
      <c r="E8" s="133">
        <v>1</v>
      </c>
      <c r="F8" s="133">
        <v>1</v>
      </c>
      <c r="G8" s="133">
        <v>1</v>
      </c>
      <c r="H8" s="133">
        <v>1</v>
      </c>
      <c r="I8" s="133" t="s">
        <v>55</v>
      </c>
      <c r="J8" s="133" t="s">
        <v>262</v>
      </c>
      <c r="K8" s="134" t="s">
        <v>243</v>
      </c>
      <c r="L8" s="72"/>
      <c r="M8" s="72"/>
      <c r="N8" s="72"/>
      <c r="O8" s="72"/>
      <c r="P8" s="72"/>
      <c r="Q8" s="72"/>
      <c r="R8" s="72"/>
      <c r="S8" s="72"/>
      <c r="T8" s="72"/>
    </row>
    <row r="9" spans="2:20" s="124" customFormat="1" ht="12.75">
      <c r="B9" s="134" t="s">
        <v>185</v>
      </c>
      <c r="C9" s="133" t="s">
        <v>270</v>
      </c>
      <c r="D9" s="133">
        <v>2</v>
      </c>
      <c r="E9" s="133">
        <v>2</v>
      </c>
      <c r="F9" s="133">
        <v>3</v>
      </c>
      <c r="G9" s="133">
        <v>3</v>
      </c>
      <c r="H9" s="133">
        <v>2</v>
      </c>
      <c r="I9" s="133" t="s">
        <v>57</v>
      </c>
      <c r="J9" s="133" t="s">
        <v>262</v>
      </c>
      <c r="K9" s="134" t="s">
        <v>243</v>
      </c>
      <c r="L9" s="72"/>
      <c r="M9" s="72"/>
      <c r="N9" s="72"/>
      <c r="O9" s="72"/>
      <c r="P9" s="72"/>
      <c r="Q9" s="72"/>
      <c r="R9" s="72"/>
      <c r="S9" s="72"/>
      <c r="T9" s="72"/>
    </row>
    <row r="10" spans="2:20" s="261" customFormat="1" ht="39" customHeight="1">
      <c r="B10" s="262" t="s">
        <v>184</v>
      </c>
      <c r="C10" s="263" t="s">
        <v>271</v>
      </c>
      <c r="D10" s="263">
        <v>2</v>
      </c>
      <c r="E10" s="263">
        <v>3</v>
      </c>
      <c r="F10" s="263">
        <v>5</v>
      </c>
      <c r="G10" s="263">
        <v>2</v>
      </c>
      <c r="H10" s="263">
        <v>2</v>
      </c>
      <c r="I10" s="264" t="s">
        <v>58</v>
      </c>
      <c r="J10" s="264" t="s">
        <v>60</v>
      </c>
      <c r="K10" s="265" t="s">
        <v>232</v>
      </c>
      <c r="L10" s="266"/>
      <c r="M10" s="266"/>
      <c r="N10" s="266"/>
      <c r="O10" s="266"/>
      <c r="P10" s="266"/>
      <c r="Q10" s="266"/>
      <c r="R10" s="266"/>
      <c r="S10" s="266"/>
      <c r="T10" s="266"/>
    </row>
    <row r="11" spans="2:20" s="124" customFormat="1" ht="13.5" thickBot="1">
      <c r="B11" s="138" t="s">
        <v>56</v>
      </c>
      <c r="C11" s="139" t="s">
        <v>272</v>
      </c>
      <c r="D11" s="139">
        <v>2</v>
      </c>
      <c r="E11" s="139">
        <v>2</v>
      </c>
      <c r="F11" s="139">
        <v>2</v>
      </c>
      <c r="G11" s="139">
        <v>1</v>
      </c>
      <c r="H11" s="139">
        <v>2</v>
      </c>
      <c r="I11" s="139" t="s">
        <v>59</v>
      </c>
      <c r="J11" s="139" t="s">
        <v>262</v>
      </c>
      <c r="K11" s="138" t="s">
        <v>243</v>
      </c>
      <c r="L11" s="72"/>
      <c r="M11" s="72"/>
      <c r="N11" s="72"/>
      <c r="O11" s="72"/>
      <c r="P11" s="72"/>
      <c r="Q11" s="72"/>
      <c r="R11" s="72"/>
      <c r="S11" s="72"/>
      <c r="T11" s="72"/>
    </row>
    <row r="12" spans="2:11" s="124" customFormat="1" ht="12.75">
      <c r="B12" s="312" t="s">
        <v>894</v>
      </c>
      <c r="C12" s="136"/>
      <c r="D12" s="136"/>
      <c r="E12" s="136"/>
      <c r="F12" s="136"/>
      <c r="G12" s="136"/>
      <c r="H12" s="136"/>
      <c r="I12" s="137" t="s">
        <v>61</v>
      </c>
      <c r="J12" s="136"/>
      <c r="K12" s="136"/>
    </row>
    <row r="13" spans="2:11" s="261" customFormat="1" ht="25.5" customHeight="1">
      <c r="B13" s="311" t="s">
        <v>81</v>
      </c>
      <c r="C13" s="283"/>
      <c r="D13" s="283"/>
      <c r="E13" s="283"/>
      <c r="F13" s="283"/>
      <c r="G13" s="283"/>
      <c r="H13" s="283"/>
      <c r="I13" s="284" t="s">
        <v>62</v>
      </c>
      <c r="J13" s="396" t="s">
        <v>263</v>
      </c>
      <c r="K13" s="396"/>
    </row>
    <row r="14" spans="2:39" ht="20.25">
      <c r="B14" s="50"/>
      <c r="C14" s="50"/>
      <c r="D14" s="50"/>
      <c r="E14" s="50"/>
      <c r="F14" s="50"/>
      <c r="G14" s="50"/>
      <c r="H14" s="50"/>
      <c r="I14" s="78"/>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row>
    <row r="15" spans="1:38" ht="20.25">
      <c r="A15" s="76" t="s">
        <v>244</v>
      </c>
      <c r="C15" s="50"/>
      <c r="D15" s="50"/>
      <c r="E15" s="50"/>
      <c r="F15" s="50"/>
      <c r="G15" s="50"/>
      <c r="H15" s="78"/>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row>
    <row r="16" s="49" customFormat="1" ht="13.5" thickBot="1">
      <c r="A16" s="127" t="s">
        <v>245</v>
      </c>
    </row>
    <row r="17" spans="2:7" ht="17.25" customHeight="1" thickBot="1">
      <c r="B17" s="397" t="s">
        <v>0</v>
      </c>
      <c r="C17" s="399" t="s">
        <v>1</v>
      </c>
      <c r="D17" s="400"/>
      <c r="E17" s="400"/>
      <c r="F17" s="400"/>
      <c r="G17" s="401"/>
    </row>
    <row r="18" spans="2:7" ht="13.5" thickBot="1">
      <c r="B18" s="398"/>
      <c r="C18" s="67">
        <v>1</v>
      </c>
      <c r="D18" s="67">
        <v>2</v>
      </c>
      <c r="E18" s="67">
        <v>3</v>
      </c>
      <c r="F18" s="67">
        <v>4</v>
      </c>
      <c r="G18" s="67">
        <v>5</v>
      </c>
    </row>
    <row r="19" spans="2:7" ht="60.75" thickBot="1">
      <c r="B19" s="402" t="s">
        <v>246</v>
      </c>
      <c r="C19" s="68" t="s">
        <v>2</v>
      </c>
      <c r="D19" s="68" t="s">
        <v>3</v>
      </c>
      <c r="E19" s="68" t="s">
        <v>4</v>
      </c>
      <c r="F19" s="68" t="s">
        <v>5</v>
      </c>
      <c r="G19" s="68" t="s">
        <v>6</v>
      </c>
    </row>
    <row r="20" spans="2:7" ht="24" customHeight="1" thickBot="1">
      <c r="B20" s="403"/>
      <c r="C20" s="385" t="s">
        <v>7</v>
      </c>
      <c r="D20" s="386"/>
      <c r="E20" s="385" t="s">
        <v>8</v>
      </c>
      <c r="F20" s="387"/>
      <c r="G20" s="386"/>
    </row>
    <row r="21" spans="2:7" ht="36.75" thickBot="1">
      <c r="B21" s="404"/>
      <c r="C21" s="69" t="s">
        <v>9</v>
      </c>
      <c r="D21" s="388" t="s">
        <v>10</v>
      </c>
      <c r="E21" s="389"/>
      <c r="F21" s="390" t="s">
        <v>11</v>
      </c>
      <c r="G21" s="391"/>
    </row>
    <row r="22" spans="2:7" ht="60.75" thickBot="1">
      <c r="B22" s="70" t="s">
        <v>112</v>
      </c>
      <c r="C22" s="68" t="s">
        <v>12</v>
      </c>
      <c r="D22" s="68" t="s">
        <v>13</v>
      </c>
      <c r="E22" s="68" t="s">
        <v>14</v>
      </c>
      <c r="F22" s="68" t="s">
        <v>15</v>
      </c>
      <c r="G22" s="68" t="s">
        <v>16</v>
      </c>
    </row>
    <row r="23" spans="2:7" ht="44.25" customHeight="1" thickBot="1">
      <c r="B23" s="70" t="s">
        <v>17</v>
      </c>
      <c r="C23" s="68" t="s">
        <v>18</v>
      </c>
      <c r="D23" s="68" t="s">
        <v>19</v>
      </c>
      <c r="E23" s="68" t="s">
        <v>20</v>
      </c>
      <c r="F23" s="68" t="s">
        <v>21</v>
      </c>
      <c r="G23" s="68" t="s">
        <v>22</v>
      </c>
    </row>
    <row r="24" spans="2:7" ht="44.25" customHeight="1" thickBot="1">
      <c r="B24" s="70" t="s">
        <v>23</v>
      </c>
      <c r="C24" s="68" t="s">
        <v>24</v>
      </c>
      <c r="D24" s="68" t="s">
        <v>25</v>
      </c>
      <c r="E24" s="68" t="s">
        <v>26</v>
      </c>
      <c r="F24" s="68" t="s">
        <v>27</v>
      </c>
      <c r="G24" s="68" t="s">
        <v>28</v>
      </c>
    </row>
    <row r="25" spans="2:7" ht="44.25" customHeight="1" thickBot="1">
      <c r="B25" s="70" t="s">
        <v>247</v>
      </c>
      <c r="C25" s="68" t="s">
        <v>30</v>
      </c>
      <c r="D25" s="385" t="s">
        <v>31</v>
      </c>
      <c r="E25" s="386"/>
      <c r="F25" s="68" t="s">
        <v>32</v>
      </c>
      <c r="G25" s="68" t="s">
        <v>33</v>
      </c>
    </row>
    <row r="26" spans="2:7" ht="12.75">
      <c r="B26" s="128"/>
      <c r="C26" s="129"/>
      <c r="D26" s="129"/>
      <c r="E26" s="129"/>
      <c r="F26" s="129"/>
      <c r="G26" s="129"/>
    </row>
    <row r="27" spans="2:7" ht="12.75">
      <c r="B27" s="128"/>
      <c r="C27" s="129"/>
      <c r="D27" s="129"/>
      <c r="E27" s="129"/>
      <c r="F27" s="129"/>
      <c r="G27" s="129"/>
    </row>
    <row r="28" spans="1:18" ht="18.75" customHeight="1">
      <c r="A28" s="130" t="s">
        <v>248</v>
      </c>
      <c r="C28" s="48"/>
      <c r="D28" s="48"/>
      <c r="E28" s="48"/>
      <c r="F28" s="48"/>
      <c r="G28" s="48"/>
      <c r="H28" s="48"/>
      <c r="I28" s="48"/>
      <c r="J28" s="48"/>
      <c r="K28" s="48"/>
      <c r="L28" s="48"/>
      <c r="M28" s="48"/>
      <c r="N28" s="48"/>
      <c r="O28" s="48"/>
      <c r="P28" s="48"/>
      <c r="Q28" s="48"/>
      <c r="R28" s="48"/>
    </row>
    <row r="29" spans="2:18" ht="18.75" customHeight="1">
      <c r="B29" s="157" t="s">
        <v>249</v>
      </c>
      <c r="C29" s="153"/>
      <c r="D29" s="153"/>
      <c r="E29" s="153"/>
      <c r="F29" s="153"/>
      <c r="G29" s="153"/>
      <c r="H29" s="154"/>
      <c r="I29" s="48"/>
      <c r="J29" s="48"/>
      <c r="K29" s="48"/>
      <c r="L29" s="48"/>
      <c r="M29" s="48"/>
      <c r="N29" s="48"/>
      <c r="O29" s="48"/>
      <c r="P29" s="48"/>
      <c r="Q29" s="48"/>
      <c r="R29" s="48"/>
    </row>
    <row r="30" spans="2:18" ht="64.5" customHeight="1">
      <c r="B30" s="155"/>
      <c r="C30" s="392" t="s">
        <v>250</v>
      </c>
      <c r="D30" s="393"/>
      <c r="E30" s="393"/>
      <c r="F30" s="393"/>
      <c r="G30" s="393"/>
      <c r="H30" s="394"/>
      <c r="N30" s="52"/>
      <c r="O30" s="52"/>
      <c r="P30" s="52"/>
      <c r="Q30" s="52"/>
      <c r="R30" s="52"/>
    </row>
    <row r="31" spans="2:18" ht="18.75" customHeight="1">
      <c r="B31" s="155"/>
      <c r="C31" s="160" t="s">
        <v>251</v>
      </c>
      <c r="D31" s="161"/>
      <c r="E31" s="161"/>
      <c r="F31" s="161"/>
      <c r="G31" s="161"/>
      <c r="H31" s="162"/>
      <c r="I31" s="48"/>
      <c r="J31" s="48"/>
      <c r="K31" s="48"/>
      <c r="L31" s="48"/>
      <c r="M31" s="48"/>
      <c r="N31" s="48"/>
      <c r="O31" s="48"/>
      <c r="P31" s="48"/>
      <c r="Q31" s="48"/>
      <c r="R31" s="48"/>
    </row>
    <row r="32" spans="2:18" ht="18.75" customHeight="1">
      <c r="B32" s="155"/>
      <c r="C32" s="163" t="s">
        <v>252</v>
      </c>
      <c r="D32" s="158"/>
      <c r="E32" s="158"/>
      <c r="F32" s="158"/>
      <c r="G32" s="158"/>
      <c r="H32" s="159"/>
      <c r="I32" s="48"/>
      <c r="J32" s="48"/>
      <c r="K32" s="48"/>
      <c r="L32" s="48"/>
      <c r="M32" s="48"/>
      <c r="N32" s="48"/>
      <c r="O32" s="48"/>
      <c r="P32" s="48"/>
      <c r="Q32" s="48"/>
      <c r="R32" s="48"/>
    </row>
    <row r="33" spans="2:18" ht="18.75" customHeight="1">
      <c r="B33" s="155"/>
      <c r="C33" s="163" t="s">
        <v>253</v>
      </c>
      <c r="D33" s="158"/>
      <c r="E33" s="158"/>
      <c r="F33" s="158"/>
      <c r="G33" s="158"/>
      <c r="H33" s="159"/>
      <c r="I33" s="48"/>
      <c r="J33" s="48"/>
      <c r="K33" s="48"/>
      <c r="L33" s="48"/>
      <c r="M33" s="48"/>
      <c r="N33" s="48"/>
      <c r="O33" s="48"/>
      <c r="P33" s="48"/>
      <c r="Q33" s="48"/>
      <c r="R33" s="48"/>
    </row>
    <row r="34" spans="2:18" ht="18.75" customHeight="1">
      <c r="B34" s="155"/>
      <c r="C34" s="163" t="s">
        <v>254</v>
      </c>
      <c r="D34" s="158"/>
      <c r="E34" s="158"/>
      <c r="F34" s="158"/>
      <c r="G34" s="158"/>
      <c r="H34" s="159"/>
      <c r="I34" s="48"/>
      <c r="J34" s="48"/>
      <c r="K34" s="48"/>
      <c r="L34" s="48"/>
      <c r="M34" s="48"/>
      <c r="N34" s="48"/>
      <c r="O34" s="48"/>
      <c r="P34" s="48"/>
      <c r="Q34" s="48"/>
      <c r="R34" s="48"/>
    </row>
    <row r="35" spans="2:18" ht="18.75" customHeight="1">
      <c r="B35" s="155"/>
      <c r="C35" s="163" t="s">
        <v>255</v>
      </c>
      <c r="D35" s="158"/>
      <c r="E35" s="158"/>
      <c r="F35" s="158"/>
      <c r="G35" s="158"/>
      <c r="H35" s="159"/>
      <c r="I35" s="48"/>
      <c r="J35" s="48"/>
      <c r="K35" s="48"/>
      <c r="L35" s="48"/>
      <c r="M35" s="48"/>
      <c r="N35" s="48"/>
      <c r="O35" s="48"/>
      <c r="P35" s="48"/>
      <c r="Q35" s="48"/>
      <c r="R35" s="48"/>
    </row>
    <row r="36" spans="2:18" ht="30" customHeight="1">
      <c r="B36" s="155"/>
      <c r="C36" s="363" t="s">
        <v>29</v>
      </c>
      <c r="D36" s="364"/>
      <c r="E36" s="364"/>
      <c r="F36" s="364"/>
      <c r="G36" s="364"/>
      <c r="H36" s="365"/>
      <c r="N36" s="47"/>
      <c r="O36" s="47"/>
      <c r="P36" s="47"/>
      <c r="Q36" s="48"/>
      <c r="R36" s="48"/>
    </row>
    <row r="37" spans="2:18" ht="41.25" customHeight="1">
      <c r="B37" s="156"/>
      <c r="C37" s="392" t="s">
        <v>256</v>
      </c>
      <c r="D37" s="393"/>
      <c r="E37" s="393"/>
      <c r="F37" s="393"/>
      <c r="G37" s="393"/>
      <c r="H37" s="394"/>
      <c r="N37" s="52"/>
      <c r="O37" s="52"/>
      <c r="P37" s="52"/>
      <c r="Q37" s="52"/>
      <c r="R37" s="48"/>
    </row>
    <row r="38" spans="2:18" ht="41.25" customHeight="1">
      <c r="B38" s="392" t="s">
        <v>257</v>
      </c>
      <c r="C38" s="393"/>
      <c r="D38" s="393"/>
      <c r="E38" s="393"/>
      <c r="F38" s="393"/>
      <c r="G38" s="393"/>
      <c r="H38" s="394"/>
      <c r="I38" s="48"/>
      <c r="J38" s="48"/>
      <c r="K38" s="48"/>
      <c r="L38" s="48"/>
      <c r="M38" s="48"/>
      <c r="N38" s="48"/>
      <c r="O38" s="48"/>
      <c r="P38" s="48"/>
      <c r="Q38" s="48"/>
      <c r="R38" s="48"/>
    </row>
    <row r="39" spans="2:9" ht="41.25" customHeight="1">
      <c r="B39" s="392" t="s">
        <v>258</v>
      </c>
      <c r="C39" s="393"/>
      <c r="D39" s="393"/>
      <c r="E39" s="393"/>
      <c r="F39" s="393"/>
      <c r="G39" s="393"/>
      <c r="H39" s="394"/>
      <c r="I39" s="66"/>
    </row>
    <row r="40" spans="2:9" ht="41.25" customHeight="1">
      <c r="B40" s="392" t="s">
        <v>259</v>
      </c>
      <c r="C40" s="393"/>
      <c r="D40" s="393"/>
      <c r="E40" s="393"/>
      <c r="F40" s="393"/>
      <c r="G40" s="393"/>
      <c r="H40" s="394"/>
      <c r="I40" s="66"/>
    </row>
    <row r="41" spans="2:9" ht="30" customHeight="1">
      <c r="B41" s="392" t="s">
        <v>260</v>
      </c>
      <c r="C41" s="393"/>
      <c r="D41" s="393"/>
      <c r="E41" s="393"/>
      <c r="F41" s="393"/>
      <c r="G41" s="393"/>
      <c r="H41" s="394"/>
      <c r="I41" s="66"/>
    </row>
    <row r="42" spans="1:9" ht="15.75">
      <c r="A42" s="131" t="s">
        <v>261</v>
      </c>
      <c r="B42" s="131"/>
      <c r="I42" s="71"/>
    </row>
    <row r="43" spans="2:8" ht="30" customHeight="1">
      <c r="B43" s="369" t="s">
        <v>34</v>
      </c>
      <c r="C43" s="370"/>
      <c r="D43" s="370"/>
      <c r="E43" s="370"/>
      <c r="F43" s="370"/>
      <c r="G43" s="370"/>
      <c r="H43" s="371"/>
    </row>
    <row r="44" spans="2:8" ht="12.75">
      <c r="B44" s="381" t="s">
        <v>35</v>
      </c>
      <c r="C44" s="382"/>
      <c r="D44" s="382"/>
      <c r="E44" s="382"/>
      <c r="F44" s="382"/>
      <c r="G44" s="56"/>
      <c r="H44" s="164"/>
    </row>
    <row r="45" spans="2:8" ht="30" customHeight="1">
      <c r="B45" s="372" t="s">
        <v>36</v>
      </c>
      <c r="C45" s="373"/>
      <c r="D45" s="373"/>
      <c r="E45" s="373"/>
      <c r="F45" s="373"/>
      <c r="G45" s="373"/>
      <c r="H45" s="374"/>
    </row>
    <row r="46" spans="2:8" ht="12.75">
      <c r="B46" s="165" t="s">
        <v>37</v>
      </c>
      <c r="C46" s="56"/>
      <c r="D46" s="56"/>
      <c r="E46" s="56"/>
      <c r="F46" s="56"/>
      <c r="G46" s="56"/>
      <c r="H46" s="164"/>
    </row>
    <row r="47" spans="2:8" ht="30" customHeight="1">
      <c r="B47" s="372" t="s">
        <v>38</v>
      </c>
      <c r="C47" s="373"/>
      <c r="D47" s="373"/>
      <c r="E47" s="373"/>
      <c r="F47" s="373"/>
      <c r="G47" s="373"/>
      <c r="H47" s="374"/>
    </row>
    <row r="48" spans="2:8" ht="12.75">
      <c r="B48" s="383" t="s">
        <v>288</v>
      </c>
      <c r="C48" s="384"/>
      <c r="D48" s="384"/>
      <c r="E48" s="384"/>
      <c r="F48" s="384"/>
      <c r="G48" s="384"/>
      <c r="H48" s="164"/>
    </row>
    <row r="49" spans="2:8" ht="30" customHeight="1">
      <c r="B49" s="372" t="s">
        <v>39</v>
      </c>
      <c r="C49" s="373"/>
      <c r="D49" s="373"/>
      <c r="E49" s="373"/>
      <c r="F49" s="373"/>
      <c r="G49" s="373"/>
      <c r="H49" s="374"/>
    </row>
    <row r="50" spans="2:8" ht="30" customHeight="1">
      <c r="B50" s="375" t="s">
        <v>40</v>
      </c>
      <c r="C50" s="376"/>
      <c r="D50" s="376"/>
      <c r="E50" s="376"/>
      <c r="F50" s="376"/>
      <c r="G50" s="376"/>
      <c r="H50" s="377"/>
    </row>
    <row r="51" spans="2:8" ht="30.75" customHeight="1">
      <c r="B51" s="378" t="s">
        <v>41</v>
      </c>
      <c r="C51" s="379"/>
      <c r="D51" s="379"/>
      <c r="E51" s="379"/>
      <c r="F51" s="379"/>
      <c r="G51" s="379"/>
      <c r="H51" s="380"/>
    </row>
    <row r="52" spans="2:8" ht="30" customHeight="1">
      <c r="B52" s="363" t="s">
        <v>42</v>
      </c>
      <c r="C52" s="364"/>
      <c r="D52" s="364"/>
      <c r="E52" s="364"/>
      <c r="F52" s="364"/>
      <c r="G52" s="364"/>
      <c r="H52" s="365"/>
    </row>
    <row r="53" spans="2:8" ht="12.75">
      <c r="B53" s="366" t="s">
        <v>43</v>
      </c>
      <c r="C53" s="367"/>
      <c r="D53" s="367"/>
      <c r="E53" s="367"/>
      <c r="F53" s="367"/>
      <c r="G53" s="367"/>
      <c r="H53" s="368"/>
    </row>
  </sheetData>
  <sheetProtection/>
  <mergeCells count="28">
    <mergeCell ref="L6:Q6"/>
    <mergeCell ref="J13:K13"/>
    <mergeCell ref="B17:B18"/>
    <mergeCell ref="C17:G17"/>
    <mergeCell ref="B19:B21"/>
    <mergeCell ref="A1:K1"/>
    <mergeCell ref="B38:H38"/>
    <mergeCell ref="B39:H39"/>
    <mergeCell ref="B40:H40"/>
    <mergeCell ref="B41:H41"/>
    <mergeCell ref="C30:H30"/>
    <mergeCell ref="C37:H37"/>
    <mergeCell ref="D25:E25"/>
    <mergeCell ref="C36:H36"/>
    <mergeCell ref="C20:D20"/>
    <mergeCell ref="E20:G20"/>
    <mergeCell ref="D21:E21"/>
    <mergeCell ref="F21:G21"/>
    <mergeCell ref="B52:H52"/>
    <mergeCell ref="B53:H53"/>
    <mergeCell ref="B43:H43"/>
    <mergeCell ref="B45:H45"/>
    <mergeCell ref="B47:H47"/>
    <mergeCell ref="B49:H49"/>
    <mergeCell ref="B50:H50"/>
    <mergeCell ref="B51:H51"/>
    <mergeCell ref="B44:F44"/>
    <mergeCell ref="B48:G48"/>
  </mergeCells>
  <printOptions/>
  <pageMargins left="0.7" right="0.7" top="0.75" bottom="0.75" header="0.3" footer="0.3"/>
  <pageSetup horizontalDpi="600" verticalDpi="600" orientation="landscape" paperSize="3" r:id="rId1"/>
  <headerFooter>
    <oddFooter>&amp;CPage &amp;P&amp;R&amp;F</oddFooter>
  </headerFooter>
  <rowBreaks count="1" manualBreakCount="1">
    <brk id="27" max="255" man="1"/>
  </rowBreaks>
</worksheet>
</file>

<file path=xl/worksheets/sheet5.xml><?xml version="1.0" encoding="utf-8"?>
<worksheet xmlns="http://schemas.openxmlformats.org/spreadsheetml/2006/main" xmlns:r="http://schemas.openxmlformats.org/officeDocument/2006/relationships">
  <sheetPr codeName="Sheet4"/>
  <dimension ref="A1:AL24"/>
  <sheetViews>
    <sheetView zoomScalePageLayoutView="0" workbookViewId="0" topLeftCell="A1">
      <selection activeCell="A1" sqref="A1"/>
    </sheetView>
  </sheetViews>
  <sheetFormatPr defaultColWidth="9.140625" defaultRowHeight="12.75"/>
  <cols>
    <col min="2" max="2" width="27.7109375" style="0" customWidth="1"/>
    <col min="9" max="9" width="12.57421875" style="0" customWidth="1"/>
    <col min="10" max="10" width="11.421875" style="0" customWidth="1"/>
    <col min="11" max="11" width="39.57421875" style="0" bestFit="1" customWidth="1"/>
    <col min="12" max="12" width="26.28125" style="0" bestFit="1" customWidth="1"/>
    <col min="13" max="13" width="10.00390625" style="0" bestFit="1" customWidth="1"/>
    <col min="14" max="14" width="5.421875" style="0" bestFit="1" customWidth="1"/>
    <col min="15" max="15" width="6.00390625" style="0" bestFit="1" customWidth="1"/>
    <col min="16" max="16" width="2.7109375" style="0" customWidth="1"/>
    <col min="17" max="17" width="8.7109375" style="0" bestFit="1" customWidth="1"/>
    <col min="18" max="18" width="11.57421875" style="0" bestFit="1" customWidth="1"/>
    <col min="19" max="19" width="11.00390625" style="0" bestFit="1" customWidth="1"/>
    <col min="20" max="20" width="11.57421875" style="0" bestFit="1" customWidth="1"/>
    <col min="21" max="21" width="12.57421875" style="0" bestFit="1" customWidth="1"/>
    <col min="22" max="22" width="9.421875" style="0" bestFit="1" customWidth="1"/>
    <col min="23" max="26" width="12.57421875" style="0" bestFit="1" customWidth="1"/>
    <col min="27" max="28" width="11.140625" style="0" bestFit="1" customWidth="1"/>
    <col min="29" max="30" width="12.57421875" style="0" bestFit="1" customWidth="1"/>
    <col min="31" max="31" width="11.57421875" style="0" bestFit="1" customWidth="1"/>
    <col min="32" max="33" width="12.57421875" style="0" bestFit="1" customWidth="1"/>
    <col min="34" max="34" width="11.140625" style="0" bestFit="1" customWidth="1"/>
    <col min="35" max="35" width="11.57421875" style="0" bestFit="1" customWidth="1"/>
    <col min="36" max="36" width="11.140625" style="0" bestFit="1" customWidth="1"/>
    <col min="37" max="37" width="12.00390625" style="0" bestFit="1" customWidth="1"/>
  </cols>
  <sheetData>
    <row r="1" spans="1:38" ht="20.25">
      <c r="A1" s="50"/>
      <c r="B1" s="50"/>
      <c r="C1" s="50"/>
      <c r="D1" s="50"/>
      <c r="E1" s="50"/>
      <c r="F1" s="50"/>
      <c r="G1" s="50"/>
      <c r="H1" s="167" t="s">
        <v>56</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5" spans="3:10" ht="13.5" thickBot="1">
      <c r="C5" t="s">
        <v>292</v>
      </c>
      <c r="D5" s="48" t="s">
        <v>293</v>
      </c>
      <c r="I5" s="48" t="s">
        <v>839</v>
      </c>
      <c r="J5" s="271" t="s">
        <v>877</v>
      </c>
    </row>
    <row r="6" spans="1:37" ht="38.25">
      <c r="A6" s="406" t="s">
        <v>294</v>
      </c>
      <c r="B6" s="173" t="s">
        <v>295</v>
      </c>
      <c r="C6" s="174">
        <v>0.0006135937500000002</v>
      </c>
      <c r="D6" s="175">
        <f>C6*WaterConsumption!$B$15</f>
        <v>3.0004692540225785E-05</v>
      </c>
      <c r="F6" s="168"/>
      <c r="I6" s="186"/>
      <c r="J6" s="187"/>
      <c r="K6" s="187"/>
      <c r="L6" s="187"/>
      <c r="M6" s="187"/>
      <c r="N6" s="187"/>
      <c r="O6" s="187"/>
      <c r="P6" s="187"/>
      <c r="Q6" s="187"/>
      <c r="R6" s="188" t="s">
        <v>310</v>
      </c>
      <c r="S6" s="188" t="s">
        <v>311</v>
      </c>
      <c r="T6" s="188" t="s">
        <v>311</v>
      </c>
      <c r="U6" s="188" t="s">
        <v>311</v>
      </c>
      <c r="V6" s="189" t="s">
        <v>312</v>
      </c>
      <c r="W6" s="188" t="s">
        <v>303</v>
      </c>
      <c r="X6" s="188" t="s">
        <v>295</v>
      </c>
      <c r="Y6" s="188" t="s">
        <v>296</v>
      </c>
      <c r="Z6" s="188" t="s">
        <v>297</v>
      </c>
      <c r="AA6" s="188" t="s">
        <v>299</v>
      </c>
      <c r="AB6" s="188" t="s">
        <v>301</v>
      </c>
      <c r="AC6" s="188" t="s">
        <v>300</v>
      </c>
      <c r="AD6" s="188" t="s">
        <v>304</v>
      </c>
      <c r="AE6" s="188" t="s">
        <v>305</v>
      </c>
      <c r="AF6" s="188" t="s">
        <v>306</v>
      </c>
      <c r="AG6" s="188" t="s">
        <v>307</v>
      </c>
      <c r="AH6" s="188" t="s">
        <v>308</v>
      </c>
      <c r="AI6" s="188" t="s">
        <v>308</v>
      </c>
      <c r="AJ6" s="188" t="s">
        <v>309</v>
      </c>
      <c r="AK6" s="190" t="s">
        <v>298</v>
      </c>
    </row>
    <row r="7" spans="1:37" ht="12.75">
      <c r="A7" s="407"/>
      <c r="B7" s="176" t="s">
        <v>296</v>
      </c>
      <c r="C7" s="177">
        <v>0.0018484375000000003</v>
      </c>
      <c r="D7" s="178">
        <f>C7*WaterConsumption!$B$15</f>
        <v>9.038846772367482E-05</v>
      </c>
      <c r="F7" s="168"/>
      <c r="I7" s="191" t="s">
        <v>313</v>
      </c>
      <c r="J7" s="54" t="s">
        <v>314</v>
      </c>
      <c r="K7" s="54" t="s">
        <v>315</v>
      </c>
      <c r="L7" s="54" t="s">
        <v>316</v>
      </c>
      <c r="M7" s="54" t="s">
        <v>317</v>
      </c>
      <c r="N7" s="54" t="s">
        <v>318</v>
      </c>
      <c r="O7" s="54"/>
      <c r="P7" s="54"/>
      <c r="Q7" s="54"/>
      <c r="R7" s="74" t="s">
        <v>319</v>
      </c>
      <c r="S7" s="74" t="s">
        <v>320</v>
      </c>
      <c r="T7" s="74" t="s">
        <v>321</v>
      </c>
      <c r="U7" s="74" t="s">
        <v>322</v>
      </c>
      <c r="V7" s="74"/>
      <c r="W7" s="182" t="s">
        <v>323</v>
      </c>
      <c r="X7" s="182" t="s">
        <v>323</v>
      </c>
      <c r="Y7" s="182" t="s">
        <v>323</v>
      </c>
      <c r="Z7" s="182" t="s">
        <v>323</v>
      </c>
      <c r="AA7" s="182" t="s">
        <v>323</v>
      </c>
      <c r="AB7" s="182" t="s">
        <v>323</v>
      </c>
      <c r="AC7" s="182" t="s">
        <v>323</v>
      </c>
      <c r="AD7" s="182" t="s">
        <v>323</v>
      </c>
      <c r="AE7" s="182" t="s">
        <v>323</v>
      </c>
      <c r="AF7" s="182" t="s">
        <v>323</v>
      </c>
      <c r="AG7" s="182" t="s">
        <v>323</v>
      </c>
      <c r="AH7" s="182" t="s">
        <v>324</v>
      </c>
      <c r="AI7" s="182" t="s">
        <v>323</v>
      </c>
      <c r="AJ7" s="182" t="s">
        <v>323</v>
      </c>
      <c r="AK7" s="192" t="s">
        <v>323</v>
      </c>
    </row>
    <row r="8" spans="1:37" ht="12.75">
      <c r="A8" s="407"/>
      <c r="B8" s="176" t="s">
        <v>297</v>
      </c>
      <c r="C8" s="177">
        <v>1.8281250000000007E-05</v>
      </c>
      <c r="D8" s="178">
        <f>C8*WaterConsumption!$B$15</f>
        <v>8.93951878585795E-07</v>
      </c>
      <c r="F8" s="168"/>
      <c r="I8" s="191" t="s">
        <v>325</v>
      </c>
      <c r="J8" s="54" t="s">
        <v>326</v>
      </c>
      <c r="K8" s="54" t="s">
        <v>327</v>
      </c>
      <c r="L8" s="54" t="s">
        <v>328</v>
      </c>
      <c r="M8" s="54" t="s">
        <v>329</v>
      </c>
      <c r="N8" s="54" t="s">
        <v>330</v>
      </c>
      <c r="O8" s="54">
        <v>59323</v>
      </c>
      <c r="P8" s="54"/>
      <c r="Q8" s="54"/>
      <c r="R8" s="74">
        <v>5896700810</v>
      </c>
      <c r="S8" s="74">
        <v>0.02</v>
      </c>
      <c r="T8" s="74">
        <f>S8*10^6*365</f>
        <v>7300000</v>
      </c>
      <c r="U8" s="74">
        <v>0.004686265571951242</v>
      </c>
      <c r="V8" s="74"/>
      <c r="W8" s="74"/>
      <c r="X8" s="74"/>
      <c r="Y8" s="74"/>
      <c r="Z8" s="74"/>
      <c r="AA8" s="74"/>
      <c r="AB8" s="74">
        <v>52.5</v>
      </c>
      <c r="AC8" s="74"/>
      <c r="AD8" s="74"/>
      <c r="AE8" s="74"/>
      <c r="AF8" s="74">
        <v>2.39</v>
      </c>
      <c r="AG8" s="74"/>
      <c r="AH8" s="74"/>
      <c r="AI8" s="74"/>
      <c r="AJ8" s="74"/>
      <c r="AK8" s="193"/>
    </row>
    <row r="9" spans="1:37" ht="12.75">
      <c r="A9" s="407"/>
      <c r="B9" s="176" t="s">
        <v>298</v>
      </c>
      <c r="C9" s="177">
        <v>2.280303030303031E-06</v>
      </c>
      <c r="D9" s="178">
        <f>C9*WaterConsumption!$B$15</f>
        <v>1.115066627109347E-07</v>
      </c>
      <c r="F9" s="168"/>
      <c r="I9" s="191" t="s">
        <v>331</v>
      </c>
      <c r="J9" s="54" t="s">
        <v>326</v>
      </c>
      <c r="K9" s="54" t="s">
        <v>332</v>
      </c>
      <c r="L9" s="54" t="s">
        <v>333</v>
      </c>
      <c r="M9" s="54" t="s">
        <v>334</v>
      </c>
      <c r="N9" s="54" t="s">
        <v>330</v>
      </c>
      <c r="O9" s="54">
        <v>59025</v>
      </c>
      <c r="P9" s="54"/>
      <c r="Q9" s="54"/>
      <c r="R9" s="74">
        <v>2902991168</v>
      </c>
      <c r="S9" s="74">
        <v>3.258088</v>
      </c>
      <c r="T9" s="74">
        <f>S9*10^6*365</f>
        <v>1189202120</v>
      </c>
      <c r="U9" s="74">
        <v>1.550683227517478</v>
      </c>
      <c r="V9" s="74"/>
      <c r="W9" s="74">
        <v>0.08472222222222223</v>
      </c>
      <c r="X9" s="74">
        <v>0.9434375000000003</v>
      </c>
      <c r="Y9" s="74">
        <v>1.8906250000000002</v>
      </c>
      <c r="Z9" s="74">
        <v>0.016562500000000004</v>
      </c>
      <c r="AA9" s="74"/>
      <c r="AB9" s="74"/>
      <c r="AC9" s="74">
        <v>1879.5277777777778</v>
      </c>
      <c r="AD9" s="74">
        <v>0.00175</v>
      </c>
      <c r="AE9" s="74">
        <v>0.00225</v>
      </c>
      <c r="AF9" s="74">
        <v>0.16816901408450702</v>
      </c>
      <c r="AG9" s="74"/>
      <c r="AH9" s="74"/>
      <c r="AI9" s="74">
        <v>0.24775</v>
      </c>
      <c r="AJ9" s="74">
        <v>0.01</v>
      </c>
      <c r="AK9" s="193">
        <v>0.0013333333333333333</v>
      </c>
    </row>
    <row r="10" spans="1:37" ht="12.75">
      <c r="A10" s="407"/>
      <c r="B10" s="176" t="s">
        <v>299</v>
      </c>
      <c r="C10" s="177">
        <v>0.8590625</v>
      </c>
      <c r="D10" s="178">
        <f>C10*WaterConsumption!$B$15</f>
        <v>0.04200809767918546</v>
      </c>
      <c r="F10" s="168"/>
      <c r="I10" s="191" t="s">
        <v>335</v>
      </c>
      <c r="J10" s="54" t="s">
        <v>326</v>
      </c>
      <c r="K10" s="54" t="s">
        <v>336</v>
      </c>
      <c r="L10" s="54" t="s">
        <v>337</v>
      </c>
      <c r="M10" s="54" t="s">
        <v>334</v>
      </c>
      <c r="N10" s="54" t="s">
        <v>330</v>
      </c>
      <c r="O10" s="54">
        <v>59025</v>
      </c>
      <c r="P10" s="54"/>
      <c r="Q10" s="54"/>
      <c r="R10" s="74">
        <v>2902991168</v>
      </c>
      <c r="S10" s="74">
        <v>10.771983600000002</v>
      </c>
      <c r="T10" s="74">
        <f>S10*10^6*365</f>
        <v>3931774014.0000005</v>
      </c>
      <c r="U10" s="74">
        <v>5.126913175952689</v>
      </c>
      <c r="V10" s="74"/>
      <c r="W10" s="74">
        <v>0.016666666666666666</v>
      </c>
      <c r="X10" s="74">
        <v>0.28375000000000006</v>
      </c>
      <c r="Y10" s="74">
        <v>1.8062500000000004</v>
      </c>
      <c r="Z10" s="74">
        <v>0.020000000000000007</v>
      </c>
      <c r="AA10" s="74">
        <v>859.0625</v>
      </c>
      <c r="AB10" s="74"/>
      <c r="AC10" s="74">
        <v>1699.861111111111</v>
      </c>
      <c r="AD10" s="74">
        <v>0.0036666666666666666</v>
      </c>
      <c r="AE10" s="74">
        <v>0.003250000000000002</v>
      </c>
      <c r="AF10" s="74">
        <v>0.09208333333333328</v>
      </c>
      <c r="AG10" s="74">
        <v>0.0010937500000000005</v>
      </c>
      <c r="AH10" s="74">
        <v>0.084</v>
      </c>
      <c r="AI10" s="74"/>
      <c r="AJ10" s="74"/>
      <c r="AK10" s="193">
        <v>0.0032272727272727284</v>
      </c>
    </row>
    <row r="11" spans="1:37" ht="15">
      <c r="A11" s="407"/>
      <c r="B11" s="176" t="s">
        <v>300</v>
      </c>
      <c r="C11" s="177">
        <v>1.7896944444444443</v>
      </c>
      <c r="D11" s="178">
        <f>C11*WaterConsumption!$B$15</f>
        <v>0.0875159363121051</v>
      </c>
      <c r="F11" s="168"/>
      <c r="I11" s="194"/>
      <c r="J11" s="195"/>
      <c r="K11" s="195"/>
      <c r="L11" s="195"/>
      <c r="M11" s="195"/>
      <c r="N11" s="195"/>
      <c r="O11" s="195"/>
      <c r="P11" s="195"/>
      <c r="Q11" s="195"/>
      <c r="R11" s="183"/>
      <c r="S11" s="183"/>
      <c r="T11" s="183"/>
      <c r="U11" s="183" t="s">
        <v>322</v>
      </c>
      <c r="V11" s="183"/>
      <c r="W11" s="183" t="s">
        <v>292</v>
      </c>
      <c r="X11" s="183" t="s">
        <v>292</v>
      </c>
      <c r="Y11" s="183" t="s">
        <v>292</v>
      </c>
      <c r="Z11" s="183" t="s">
        <v>292</v>
      </c>
      <c r="AA11" s="183" t="s">
        <v>292</v>
      </c>
      <c r="AB11" s="183" t="s">
        <v>292</v>
      </c>
      <c r="AC11" s="183" t="s">
        <v>292</v>
      </c>
      <c r="AD11" s="183" t="s">
        <v>292</v>
      </c>
      <c r="AE11" s="183" t="s">
        <v>292</v>
      </c>
      <c r="AF11" s="183" t="s">
        <v>292</v>
      </c>
      <c r="AG11" s="183" t="s">
        <v>292</v>
      </c>
      <c r="AH11" s="183" t="s">
        <v>292</v>
      </c>
      <c r="AI11" s="183" t="s">
        <v>292</v>
      </c>
      <c r="AJ11" s="183" t="s">
        <v>292</v>
      </c>
      <c r="AK11" s="196" t="s">
        <v>292</v>
      </c>
    </row>
    <row r="12" spans="1:37" ht="15.75" thickBot="1">
      <c r="A12" s="408"/>
      <c r="B12" s="179" t="s">
        <v>301</v>
      </c>
      <c r="C12" s="180">
        <v>0.0525</v>
      </c>
      <c r="D12" s="181">
        <f>C12*WaterConsumption!$B$15</f>
        <v>0.002567246420554077</v>
      </c>
      <c r="F12" s="168"/>
      <c r="I12" s="197"/>
      <c r="J12" s="198"/>
      <c r="K12" s="198"/>
      <c r="L12" s="198"/>
      <c r="M12" s="198"/>
      <c r="N12" s="198"/>
      <c r="O12" s="198"/>
      <c r="P12" s="198"/>
      <c r="Q12" s="198" t="s">
        <v>173</v>
      </c>
      <c r="R12" s="199">
        <f>AVERAGE(R8:R10)</f>
        <v>3900894382</v>
      </c>
      <c r="S12" s="199">
        <f>AVERAGE(S8:S10)</f>
        <v>4.6833572000000006</v>
      </c>
      <c r="T12" s="199">
        <f>AVERAGE(T8:T10)</f>
        <v>1709425378</v>
      </c>
      <c r="U12" s="199">
        <f>AVERAGE(U8:U10)</f>
        <v>2.2274275563473727</v>
      </c>
      <c r="V12" s="199"/>
      <c r="W12" s="199">
        <f>AVERAGE(W8:W10)/1000</f>
        <v>5.069444444444444E-05</v>
      </c>
      <c r="X12" s="199">
        <f aca="true" t="shared" si="0" ref="X12:AK12">AVERAGE(X8:X10)/1000</f>
        <v>0.0006135937500000002</v>
      </c>
      <c r="Y12" s="199">
        <f t="shared" si="0"/>
        <v>0.0018484375000000003</v>
      </c>
      <c r="Z12" s="199">
        <f t="shared" si="0"/>
        <v>1.8281250000000007E-05</v>
      </c>
      <c r="AA12" s="199">
        <f t="shared" si="0"/>
        <v>0.8590625</v>
      </c>
      <c r="AB12" s="199">
        <f t="shared" si="0"/>
        <v>0.0525</v>
      </c>
      <c r="AC12" s="199">
        <f t="shared" si="0"/>
        <v>1.7896944444444443</v>
      </c>
      <c r="AD12" s="199">
        <f t="shared" si="0"/>
        <v>2.7083333333333334E-06</v>
      </c>
      <c r="AE12" s="199">
        <f t="shared" si="0"/>
        <v>2.7500000000000008E-06</v>
      </c>
      <c r="AF12" s="199">
        <f t="shared" si="0"/>
        <v>0.0008834174491392801</v>
      </c>
      <c r="AG12" s="199">
        <f t="shared" si="0"/>
        <v>1.0937500000000005E-06</v>
      </c>
      <c r="AH12" s="199">
        <f t="shared" si="0"/>
        <v>8.400000000000001E-05</v>
      </c>
      <c r="AI12" s="199">
        <f t="shared" si="0"/>
        <v>0.00024775</v>
      </c>
      <c r="AJ12" s="199">
        <f t="shared" si="0"/>
        <v>1E-05</v>
      </c>
      <c r="AK12" s="200">
        <f t="shared" si="0"/>
        <v>2.280303030303031E-06</v>
      </c>
    </row>
    <row r="13" spans="1:6" ht="12.75">
      <c r="A13" s="406" t="s">
        <v>302</v>
      </c>
      <c r="B13" s="173" t="s">
        <v>303</v>
      </c>
      <c r="C13" s="174">
        <v>5.069444444444444E-05</v>
      </c>
      <c r="D13" s="175">
        <f>C13*WaterConsumption!$B$15</f>
        <v>2.478954876990048E-06</v>
      </c>
      <c r="F13" s="168"/>
    </row>
    <row r="14" spans="1:6" ht="12.75">
      <c r="A14" s="407"/>
      <c r="B14" s="176" t="s">
        <v>304</v>
      </c>
      <c r="C14" s="177">
        <v>2.7083333333333334E-06</v>
      </c>
      <c r="D14" s="178">
        <f>C14*WaterConsumption!$B$15</f>
        <v>1.3243731534604365E-07</v>
      </c>
      <c r="F14" s="168"/>
    </row>
    <row r="15" spans="1:6" ht="12.75">
      <c r="A15" s="407"/>
      <c r="B15" s="176" t="s">
        <v>305</v>
      </c>
      <c r="C15" s="177">
        <v>2.7500000000000008E-06</v>
      </c>
      <c r="D15" s="178">
        <f>C15*WaterConsumption!$B$15</f>
        <v>1.344748125052136E-07</v>
      </c>
      <c r="F15" s="168"/>
    </row>
    <row r="16" spans="1:6" ht="12.75">
      <c r="A16" s="407"/>
      <c r="B16" s="176" t="s">
        <v>306</v>
      </c>
      <c r="C16" s="177">
        <v>0.0008834174491392801</v>
      </c>
      <c r="D16" s="178">
        <f>C16*WaterConsumption!$B$15</f>
        <v>4.3199053031577716E-05</v>
      </c>
      <c r="F16" s="168"/>
    </row>
    <row r="17" spans="1:6" ht="12.75">
      <c r="A17" s="407"/>
      <c r="B17" s="176" t="s">
        <v>307</v>
      </c>
      <c r="C17" s="177">
        <v>1.0937500000000005E-06</v>
      </c>
      <c r="D17" s="178">
        <f>C17*WaterConsumption!$B$15</f>
        <v>5.348430042820996E-08</v>
      </c>
      <c r="F17" s="168"/>
    </row>
    <row r="18" spans="1:6" ht="12.75">
      <c r="A18" s="407"/>
      <c r="B18" s="176" t="s">
        <v>308</v>
      </c>
      <c r="C18" s="177">
        <v>0.00024775</v>
      </c>
      <c r="D18" s="178">
        <f>C18*WaterConsumption!$B$15</f>
        <v>1.2114958108424239E-05</v>
      </c>
      <c r="F18" s="168"/>
    </row>
    <row r="19" spans="1:6" ht="13.5" thickBot="1">
      <c r="A19" s="408"/>
      <c r="B19" s="179" t="s">
        <v>309</v>
      </c>
      <c r="C19" s="180">
        <v>1E-05</v>
      </c>
      <c r="D19" s="181">
        <f>C19*WaterConsumption!$B$15</f>
        <v>4.889993182007766E-07</v>
      </c>
      <c r="F19" s="168"/>
    </row>
    <row r="20" ht="12.75">
      <c r="A20" s="169"/>
    </row>
    <row r="24" ht="12.75">
      <c r="C24" s="48"/>
    </row>
  </sheetData>
  <sheetProtection/>
  <mergeCells count="2">
    <mergeCell ref="A6:A12"/>
    <mergeCell ref="A13:A19"/>
  </mergeCells>
  <conditionalFormatting sqref="M11">
    <cfRule type="dataBar" priority="3" dxfId="0">
      <dataBar>
        <cfvo type="min"/>
        <cfvo type="max"/>
        <color rgb="FF638EC6"/>
      </dataBar>
      <extLst>
        <ext xmlns:x14="http://schemas.microsoft.com/office/spreadsheetml/2009/9/main" uri="{B025F937-C7B1-47D3-B67F-A62EFF666E3E}">
          <x14:id>{596080b1-b1e0-47f0-8ffb-ae9b46824aac}</x14:id>
        </ext>
      </extLst>
    </cfRule>
  </conditionalFormatting>
  <conditionalFormatting sqref="R11">
    <cfRule type="dataBar" priority="2" dxfId="0">
      <dataBar>
        <cfvo type="min"/>
        <cfvo type="max"/>
        <color rgb="FF638EC6"/>
      </dataBar>
      <extLst>
        <ext xmlns:x14="http://schemas.microsoft.com/office/spreadsheetml/2009/9/main" uri="{B025F937-C7B1-47D3-B67F-A62EFF666E3E}">
          <x14:id>{c9721cce-b429-4283-8692-1c64440a26b5}</x14:id>
        </ext>
      </extLst>
    </cfRule>
  </conditionalFormatting>
  <conditionalFormatting sqref="S11:U11 V11:V12">
    <cfRule type="dataBar" priority="1" dxfId="0">
      <dataBar>
        <cfvo type="min"/>
        <cfvo type="max"/>
        <color rgb="FF638EC6"/>
      </dataBar>
      <extLst>
        <ext xmlns:x14="http://schemas.microsoft.com/office/spreadsheetml/2009/9/main" uri="{B025F937-C7B1-47D3-B67F-A62EFF666E3E}">
          <x14:id>{bb1716fc-caed-4407-a3e4-dacc44280dfc}</x14:id>
        </ext>
      </extLst>
    </cfRule>
  </conditionalFormatting>
  <printOptions/>
  <pageMargins left="0.7" right="0.7" top="0.75" bottom="0.75" header="0.3" footer="0.3"/>
  <pageSetup horizontalDpi="600" verticalDpi="600" orientation="portrait" r:id="rId1"/>
  <extLst>
    <ext xmlns:x14="http://schemas.microsoft.com/office/spreadsheetml/2009/9/main" uri="{78C0D931-6437-407d-A8EE-F0AAD7539E65}">
      <x14:conditionalFormattings>
        <x14:conditionalFormatting xmlns:xm="http://schemas.microsoft.com/office/excel/2006/main">
          <x14:cfRule type="dataBar" id="{596080b1-b1e0-47f0-8ffb-ae9b46824aac}">
            <x14:dataBar minLength="0" maxLength="100" gradient="0">
              <x14:cfvo type="min"/>
              <x14:cfvo type="max"/>
              <x14:negativeFillColor rgb="FFFF0000"/>
              <x14:axisColor rgb="FF000000"/>
            </x14:dataBar>
            <x14:dxf/>
          </x14:cfRule>
          <xm:sqref>M11</xm:sqref>
        </x14:conditionalFormatting>
        <x14:conditionalFormatting xmlns:xm="http://schemas.microsoft.com/office/excel/2006/main">
          <x14:cfRule type="dataBar" id="{c9721cce-b429-4283-8692-1c64440a26b5}">
            <x14:dataBar minLength="0" maxLength="100" gradient="0">
              <x14:cfvo type="min"/>
              <x14:cfvo type="max"/>
              <x14:negativeFillColor rgb="FFFF0000"/>
              <x14:axisColor rgb="FF000000"/>
            </x14:dataBar>
            <x14:dxf/>
          </x14:cfRule>
          <xm:sqref>R11</xm:sqref>
        </x14:conditionalFormatting>
        <x14:conditionalFormatting xmlns:xm="http://schemas.microsoft.com/office/excel/2006/main">
          <x14:cfRule type="dataBar" id="{bb1716fc-caed-4407-a3e4-dacc44280dfc}">
            <x14:dataBar minLength="0" maxLength="100" gradient="0">
              <x14:cfvo type="min"/>
              <x14:cfvo type="max"/>
              <x14:negativeFillColor rgb="FFFF0000"/>
              <x14:axisColor rgb="FF000000"/>
            </x14:dataBar>
            <x14:dxf/>
          </x14:cfRule>
          <xm:sqref>S11:U11 V11:V12</xm:sqref>
        </x14:conditionalFormatting>
      </x14:conditionalFormattings>
    </ext>
  </extLst>
</worksheet>
</file>

<file path=xl/worksheets/sheet6.xml><?xml version="1.0" encoding="utf-8"?>
<worksheet xmlns="http://schemas.openxmlformats.org/spreadsheetml/2006/main" xmlns:r="http://schemas.openxmlformats.org/officeDocument/2006/relationships">
  <sheetPr codeName="Sheet5"/>
  <dimension ref="A1:AL13"/>
  <sheetViews>
    <sheetView zoomScalePageLayoutView="0" workbookViewId="0" topLeftCell="A1">
      <selection activeCell="A1" sqref="A1"/>
    </sheetView>
  </sheetViews>
  <sheetFormatPr defaultColWidth="9.140625" defaultRowHeight="12.75"/>
  <cols>
    <col min="1" max="1" width="21.8515625" style="0" customWidth="1"/>
    <col min="2" max="2" width="17.7109375" style="0" bestFit="1" customWidth="1"/>
    <col min="3" max="3" width="12.57421875" style="0" customWidth="1"/>
  </cols>
  <sheetData>
    <row r="1" spans="1:38" ht="20.25">
      <c r="A1" s="50"/>
      <c r="B1" s="50"/>
      <c r="C1" s="50"/>
      <c r="D1" s="50"/>
      <c r="E1" s="50"/>
      <c r="F1" s="50"/>
      <c r="G1" s="50"/>
      <c r="H1" s="167" t="s">
        <v>338</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5" spans="1:10" ht="18">
      <c r="A5" s="409" t="s">
        <v>340</v>
      </c>
      <c r="B5" s="410"/>
      <c r="C5" s="202"/>
      <c r="D5" s="202"/>
      <c r="E5" s="184"/>
      <c r="F5" s="184"/>
      <c r="G5" s="184"/>
      <c r="I5" s="48" t="s">
        <v>840</v>
      </c>
      <c r="J5" s="48"/>
    </row>
    <row r="6" spans="1:5" ht="25.5">
      <c r="A6" s="171" t="s">
        <v>341</v>
      </c>
      <c r="B6" s="172" t="s">
        <v>342</v>
      </c>
      <c r="C6" s="185"/>
      <c r="D6" s="185"/>
      <c r="E6" s="185"/>
    </row>
    <row r="7" spans="1:5" ht="12.75">
      <c r="A7" s="74" t="s">
        <v>343</v>
      </c>
      <c r="B7" s="201">
        <v>97500000</v>
      </c>
      <c r="C7" s="54"/>
      <c r="D7" s="54"/>
      <c r="E7" s="54"/>
    </row>
    <row r="8" spans="1:5" ht="12.75">
      <c r="A8" s="74" t="s">
        <v>344</v>
      </c>
      <c r="B8" s="201">
        <v>88500000</v>
      </c>
      <c r="C8" s="54"/>
      <c r="D8" s="54"/>
      <c r="E8" s="54"/>
    </row>
    <row r="9" spans="1:5" ht="12.75">
      <c r="A9" s="74" t="s">
        <v>345</v>
      </c>
      <c r="B9" s="201">
        <v>42100000</v>
      </c>
      <c r="C9" s="54"/>
      <c r="D9" s="54"/>
      <c r="E9" s="54"/>
    </row>
    <row r="10" spans="1:5" ht="12.75">
      <c r="A10" s="74" t="s">
        <v>346</v>
      </c>
      <c r="B10" s="201">
        <v>40000000</v>
      </c>
      <c r="C10" s="54"/>
      <c r="D10" s="54"/>
      <c r="E10" s="54"/>
    </row>
    <row r="11" spans="1:2" ht="12.75">
      <c r="A11" s="203" t="s">
        <v>174</v>
      </c>
      <c r="B11" s="201">
        <f>AVERAGE(B7:B10)</f>
        <v>67025000</v>
      </c>
    </row>
    <row r="13" spans="1:3" ht="12.75">
      <c r="A13" s="53" t="s">
        <v>174</v>
      </c>
      <c r="B13" s="257">
        <f>B11*Conversions!D9</f>
        <v>60804057198.5</v>
      </c>
      <c r="C13" s="53" t="s">
        <v>347</v>
      </c>
    </row>
  </sheetData>
  <sheetProtection/>
  <mergeCells count="1">
    <mergeCell ref="A5:B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1:AL58"/>
  <sheetViews>
    <sheetView zoomScalePageLayoutView="0" workbookViewId="0" topLeftCell="A1">
      <selection activeCell="A1" sqref="A1"/>
    </sheetView>
  </sheetViews>
  <sheetFormatPr defaultColWidth="9.140625" defaultRowHeight="12.75"/>
  <cols>
    <col min="1" max="1" width="12.57421875" style="0" bestFit="1" customWidth="1"/>
    <col min="2" max="2" width="12.421875" style="0" bestFit="1" customWidth="1"/>
    <col min="3" max="3" width="21.8515625" style="0" bestFit="1" customWidth="1"/>
    <col min="8" max="8" width="14.421875" style="0" customWidth="1"/>
    <col min="10" max="10" width="12.28125" style="0" customWidth="1"/>
  </cols>
  <sheetData>
    <row r="1" spans="1:38" ht="20.25">
      <c r="A1" s="269" t="s">
        <v>849</v>
      </c>
      <c r="B1" s="50"/>
      <c r="C1" s="50"/>
      <c r="D1" s="50"/>
      <c r="E1" s="50"/>
      <c r="F1" s="50"/>
      <c r="G1" s="50"/>
      <c r="H1" s="167" t="s">
        <v>181</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10" ht="18">
      <c r="A2" s="76" t="s">
        <v>202</v>
      </c>
      <c r="I2" s="233"/>
      <c r="J2" s="76" t="s">
        <v>74</v>
      </c>
    </row>
    <row r="3" spans="1:10" ht="14.25" customHeight="1">
      <c r="A3" s="76"/>
      <c r="I3" s="233"/>
      <c r="J3" s="76"/>
    </row>
    <row r="4" spans="1:8" ht="12.75">
      <c r="A4" s="285" t="s">
        <v>878</v>
      </c>
      <c r="B4" s="285" t="s">
        <v>100</v>
      </c>
      <c r="C4" s="285" t="s">
        <v>108</v>
      </c>
      <c r="D4" s="285" t="s">
        <v>360</v>
      </c>
      <c r="E4" s="285"/>
      <c r="F4" s="285"/>
      <c r="G4" s="285"/>
      <c r="H4" s="285" t="s">
        <v>204</v>
      </c>
    </row>
    <row r="5" spans="1:2" ht="12.75">
      <c r="A5" s="48" t="s">
        <v>361</v>
      </c>
      <c r="B5" s="170"/>
    </row>
    <row r="6" spans="2:10" ht="12.75">
      <c r="B6" s="207">
        <f>0.000014*17000^1.5</f>
        <v>31.031403448764614</v>
      </c>
      <c r="C6" s="48" t="s">
        <v>362</v>
      </c>
      <c r="J6" s="48" t="s">
        <v>841</v>
      </c>
    </row>
    <row r="7" spans="2:3" ht="12.75">
      <c r="B7" s="204">
        <f>AVERAGE(4,4,3,7,7)</f>
        <v>5</v>
      </c>
      <c r="C7" s="48" t="s">
        <v>363</v>
      </c>
    </row>
    <row r="8" spans="2:3" ht="12.75">
      <c r="B8" s="170">
        <f>B7*52</f>
        <v>260</v>
      </c>
      <c r="C8" s="48" t="s">
        <v>364</v>
      </c>
    </row>
    <row r="9" spans="2:3" ht="12.75">
      <c r="B9" s="208">
        <f>B8*B6</f>
        <v>8068.1648966788</v>
      </c>
      <c r="C9" s="48" t="s">
        <v>365</v>
      </c>
    </row>
    <row r="10" spans="2:3" ht="12.75">
      <c r="B10" s="209">
        <f>B9/Conversions!D10</f>
        <v>3659.658040104297</v>
      </c>
      <c r="C10" s="48" t="s">
        <v>347</v>
      </c>
    </row>
    <row r="11" spans="2:3" ht="12.75">
      <c r="B11" s="205">
        <f>B10/MineProduction!B13</f>
        <v>6.018772773923675E-08</v>
      </c>
      <c r="C11" s="1" t="s">
        <v>293</v>
      </c>
    </row>
    <row r="12" spans="1:2" ht="12.75">
      <c r="A12" s="48" t="s">
        <v>366</v>
      </c>
      <c r="B12" s="170"/>
    </row>
    <row r="13" spans="2:10" ht="12.75">
      <c r="B13" s="206">
        <f>1.16/10.4^1.2</f>
        <v>0.0698261315157783</v>
      </c>
      <c r="C13" s="48" t="s">
        <v>367</v>
      </c>
      <c r="J13" s="48" t="s">
        <v>841</v>
      </c>
    </row>
    <row r="14" spans="2:3" ht="12.75">
      <c r="B14" s="206">
        <f>B13/Conversions!D10</f>
        <v>0.03167260050873392</v>
      </c>
      <c r="C14" s="48" t="s">
        <v>368</v>
      </c>
    </row>
    <row r="15" spans="2:3" ht="12.75">
      <c r="B15" s="210">
        <f>B14/Conversions!D9</f>
        <v>3.491306578716692E-05</v>
      </c>
      <c r="C15" s="1" t="s">
        <v>293</v>
      </c>
    </row>
    <row r="16" spans="1:2" ht="12.75">
      <c r="A16" s="48" t="s">
        <v>369</v>
      </c>
      <c r="B16" s="170"/>
    </row>
    <row r="17" spans="2:10" ht="12.75">
      <c r="B17" s="206">
        <f>(78.4*8.6^1.2)/10.4^1.3</f>
        <v>49.382248784758936</v>
      </c>
      <c r="C17" s="48" t="s">
        <v>370</v>
      </c>
      <c r="D17" s="48" t="s">
        <v>371</v>
      </c>
      <c r="J17" s="48" t="s">
        <v>841</v>
      </c>
    </row>
    <row r="18" spans="2:8" ht="12.75">
      <c r="B18" s="208">
        <f>B17/Conversions!D10*12*365</f>
        <v>98109.42141074655</v>
      </c>
      <c r="C18" s="48" t="s">
        <v>347</v>
      </c>
      <c r="D18" s="48" t="s">
        <v>371</v>
      </c>
      <c r="H18" s="286" t="s">
        <v>879</v>
      </c>
    </row>
    <row r="19" spans="2:8" ht="12.75">
      <c r="B19" s="170"/>
      <c r="H19" s="142"/>
    </row>
    <row r="20" spans="2:10" ht="12.75">
      <c r="B20" s="61">
        <f>(5.7*8.6^1.2)/10.4^1.3</f>
        <v>3.590291046851096</v>
      </c>
      <c r="C20" s="48" t="s">
        <v>370</v>
      </c>
      <c r="D20" s="48" t="s">
        <v>372</v>
      </c>
      <c r="H20" s="142"/>
      <c r="J20" s="48" t="s">
        <v>841</v>
      </c>
    </row>
    <row r="21" spans="2:8" ht="12.75">
      <c r="B21" s="211">
        <f>B20/Conversions!D10*12*365</f>
        <v>7132.955383179276</v>
      </c>
      <c r="C21" s="48" t="s">
        <v>347</v>
      </c>
      <c r="D21" s="48" t="s">
        <v>372</v>
      </c>
      <c r="H21" s="286" t="s">
        <v>879</v>
      </c>
    </row>
    <row r="22" ht="12.75">
      <c r="H22" s="142"/>
    </row>
    <row r="23" spans="2:8" ht="12.75">
      <c r="B23" s="48" t="s">
        <v>373</v>
      </c>
      <c r="H23" s="142"/>
    </row>
    <row r="24" spans="2:8" ht="12.75">
      <c r="B24" s="211">
        <f>SUM(B21,B18)</f>
        <v>105242.37679392583</v>
      </c>
      <c r="C24" s="48" t="s">
        <v>347</v>
      </c>
      <c r="D24" s="48" t="s">
        <v>374</v>
      </c>
      <c r="H24" s="142"/>
    </row>
    <row r="25" spans="2:8" ht="12.75">
      <c r="B25" s="212">
        <f>B24/MineProduction!B13</f>
        <v>1.730844644960996E-06</v>
      </c>
      <c r="C25" s="48" t="s">
        <v>375</v>
      </c>
      <c r="D25" s="48" t="s">
        <v>374</v>
      </c>
      <c r="H25" s="142"/>
    </row>
    <row r="26" ht="12.75">
      <c r="H26" s="142"/>
    </row>
    <row r="27" spans="1:8" ht="12.75">
      <c r="A27" s="48" t="s">
        <v>376</v>
      </c>
      <c r="H27" s="142"/>
    </row>
    <row r="28" spans="2:10" ht="12.75">
      <c r="B28">
        <f>(0.0021*28.1^1.1)/7.9^0.3</f>
        <v>0.04431064983970586</v>
      </c>
      <c r="C28" s="48" t="s">
        <v>377</v>
      </c>
      <c r="D28" s="48" t="s">
        <v>378</v>
      </c>
      <c r="H28" s="142"/>
      <c r="J28" s="48" t="s">
        <v>841</v>
      </c>
    </row>
    <row r="29" spans="2:8" ht="12.75">
      <c r="B29">
        <f>B28/Conversions!D10</f>
        <v>0.02009897269388711</v>
      </c>
      <c r="C29" s="48" t="s">
        <v>379</v>
      </c>
      <c r="D29" s="48" t="s">
        <v>378</v>
      </c>
      <c r="H29" s="142"/>
    </row>
    <row r="30" spans="2:8" ht="12.75">
      <c r="B30" s="1">
        <f>B29/Conversions!D15</f>
        <v>3.646967064996367E-05</v>
      </c>
      <c r="C30" s="1" t="s">
        <v>375</v>
      </c>
      <c r="D30" s="48" t="s">
        <v>380</v>
      </c>
      <c r="H30" s="142"/>
    </row>
    <row r="31" ht="12.75">
      <c r="H31" s="142"/>
    </row>
    <row r="32" spans="1:10" ht="12.75">
      <c r="A32" s="48" t="s">
        <v>381</v>
      </c>
      <c r="B32" s="61">
        <f>0.04*5^2.5</f>
        <v>2.2360679774997894</v>
      </c>
      <c r="C32" s="48" t="s">
        <v>382</v>
      </c>
      <c r="D32" s="48" t="s">
        <v>383</v>
      </c>
      <c r="G32" s="48"/>
      <c r="H32" s="286" t="s">
        <v>880</v>
      </c>
      <c r="J32" s="48" t="s">
        <v>841</v>
      </c>
    </row>
    <row r="33" spans="2:8" ht="12.75">
      <c r="B33" s="211">
        <f>AVERAGE(168,1030,2112,1975,217)</f>
        <v>1100.4</v>
      </c>
      <c r="C33" s="48" t="s">
        <v>384</v>
      </c>
      <c r="D33" s="48" t="s">
        <v>385</v>
      </c>
      <c r="H33" s="142"/>
    </row>
    <row r="34" spans="2:8" ht="12.75">
      <c r="B34">
        <f>B33/20</f>
        <v>55.02</v>
      </c>
      <c r="C34" s="48" t="s">
        <v>386</v>
      </c>
      <c r="H34" s="286" t="s">
        <v>881</v>
      </c>
    </row>
    <row r="35" spans="2:8" ht="12.75">
      <c r="B35" s="211">
        <f>B34*Conversions!D31</f>
        <v>2396671.2</v>
      </c>
      <c r="C35" s="48" t="s">
        <v>387</v>
      </c>
      <c r="E35" s="48"/>
      <c r="H35" s="142"/>
    </row>
    <row r="36" spans="2:8" ht="12.75">
      <c r="B36">
        <f>AVERAGE(21,80,90,65,35)</f>
        <v>58.2</v>
      </c>
      <c r="C36" s="48" t="s">
        <v>388</v>
      </c>
      <c r="D36" s="48" t="s">
        <v>389</v>
      </c>
      <c r="H36" s="142"/>
    </row>
    <row r="37" spans="2:8" ht="12.75">
      <c r="B37" s="211">
        <f>B36*B35</f>
        <v>139486263.84</v>
      </c>
      <c r="C37" s="48" t="s">
        <v>390</v>
      </c>
      <c r="D37" s="48"/>
      <c r="H37" s="142"/>
    </row>
    <row r="38" spans="2:10" ht="12.75">
      <c r="B38" s="61">
        <f>13/12</f>
        <v>1.0833333333333333</v>
      </c>
      <c r="C38" s="48" t="s">
        <v>388</v>
      </c>
      <c r="D38" s="48" t="s">
        <v>391</v>
      </c>
      <c r="H38" s="142"/>
      <c r="J38" s="48" t="s">
        <v>392</v>
      </c>
    </row>
    <row r="39" spans="2:10" ht="12.75">
      <c r="B39">
        <f>138/12</f>
        <v>11.5</v>
      </c>
      <c r="C39" s="48" t="s">
        <v>388</v>
      </c>
      <c r="D39" s="48" t="s">
        <v>393</v>
      </c>
      <c r="H39" s="142"/>
      <c r="J39" s="48" t="s">
        <v>394</v>
      </c>
    </row>
    <row r="40" spans="2:8" ht="12.75">
      <c r="B40">
        <f>B39*Conversions!D30*B38</f>
        <v>65780</v>
      </c>
      <c r="C40" s="48" t="s">
        <v>395</v>
      </c>
      <c r="D40" s="48" t="s">
        <v>396</v>
      </c>
      <c r="H40" s="142"/>
    </row>
    <row r="41" spans="2:8" ht="12.75">
      <c r="B41">
        <f>B37/B40</f>
        <v>2120.4965618729098</v>
      </c>
      <c r="C41" s="48" t="s">
        <v>397</v>
      </c>
      <c r="D41" s="48" t="s">
        <v>398</v>
      </c>
      <c r="H41" s="142"/>
    </row>
    <row r="42" spans="2:8" ht="12.75">
      <c r="B42">
        <f>B41/MineProduction!B13</f>
        <v>3.487426102094419E-08</v>
      </c>
      <c r="C42" s="48" t="s">
        <v>399</v>
      </c>
      <c r="D42" s="48" t="s">
        <v>400</v>
      </c>
      <c r="H42" s="142"/>
    </row>
    <row r="43" spans="2:8" ht="12.75">
      <c r="B43" s="1">
        <f>B32/Conversions!D10*B42</f>
        <v>3.537168565743121E-08</v>
      </c>
      <c r="C43" s="48" t="s">
        <v>380</v>
      </c>
      <c r="H43" s="142"/>
    </row>
    <row r="44" ht="12.75">
      <c r="H44" s="142"/>
    </row>
    <row r="45" spans="1:10" ht="12.75">
      <c r="A45" s="48" t="s">
        <v>401</v>
      </c>
      <c r="B45">
        <f>0.72*(AVERAGE(5.1,13.4,10.7,11.2,13.4))</f>
        <v>7.747199999999999</v>
      </c>
      <c r="C45" s="48" t="s">
        <v>402</v>
      </c>
      <c r="H45" s="142"/>
      <c r="J45" s="48" t="s">
        <v>841</v>
      </c>
    </row>
    <row r="46" spans="2:8" ht="12.75">
      <c r="B46">
        <f>B45*24*365*B33</f>
        <v>74679165.3888</v>
      </c>
      <c r="C46" s="48" t="s">
        <v>365</v>
      </c>
      <c r="H46" s="142"/>
    </row>
    <row r="47" spans="2:8" ht="12.75">
      <c r="B47" s="48">
        <f>B46/MineProduction!B13</f>
        <v>0.001228193788861877</v>
      </c>
      <c r="C47" s="48" t="s">
        <v>403</v>
      </c>
      <c r="H47" s="142"/>
    </row>
    <row r="48" spans="2:8" ht="12.75">
      <c r="B48" s="1">
        <f>B47/Conversions!D10</f>
        <v>0.0005570993319763167</v>
      </c>
      <c r="C48" s="48" t="s">
        <v>293</v>
      </c>
      <c r="H48" s="142"/>
    </row>
    <row r="49" ht="12.75">
      <c r="H49" s="142"/>
    </row>
    <row r="50" spans="1:8" ht="12.75">
      <c r="A50" s="48" t="s">
        <v>404</v>
      </c>
      <c r="B50" s="1">
        <f>SUM(B48,B43,B30,B25,B15,B11)</f>
        <v>0.000630308472471805</v>
      </c>
      <c r="C50" s="48" t="s">
        <v>293</v>
      </c>
      <c r="H50" s="142"/>
    </row>
    <row r="51" spans="2:8" ht="12.75">
      <c r="B51" s="48" t="s">
        <v>405</v>
      </c>
      <c r="H51" s="286" t="s">
        <v>882</v>
      </c>
    </row>
    <row r="52" spans="2:8" ht="12.75">
      <c r="B52" s="77">
        <f>B50*0.15</f>
        <v>9.454627087077075E-05</v>
      </c>
      <c r="C52" s="53" t="s">
        <v>293</v>
      </c>
      <c r="H52" s="142"/>
    </row>
    <row r="53" ht="12.75">
      <c r="H53" s="142"/>
    </row>
    <row r="54" ht="12.75">
      <c r="H54" s="142"/>
    </row>
    <row r="55" ht="12.75">
      <c r="H55" s="142"/>
    </row>
    <row r="56" ht="12.75">
      <c r="H56" s="142"/>
    </row>
    <row r="57" ht="12.75">
      <c r="H57" s="142"/>
    </row>
    <row r="58" ht="12.75">
      <c r="H58" s="142"/>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7"/>
  <dimension ref="A1:AL113"/>
  <sheetViews>
    <sheetView zoomScalePageLayoutView="0" workbookViewId="0" topLeftCell="A1">
      <selection activeCell="A1" sqref="A1"/>
    </sheetView>
  </sheetViews>
  <sheetFormatPr defaultColWidth="9.140625" defaultRowHeight="12.75"/>
  <cols>
    <col min="1" max="1" width="24.57421875" style="0" customWidth="1"/>
    <col min="2" max="2" width="12.421875" style="0" bestFit="1" customWidth="1"/>
    <col min="3" max="3" width="12.28125" style="0" bestFit="1" customWidth="1"/>
    <col min="4" max="4" width="12.421875" style="0" bestFit="1" customWidth="1"/>
    <col min="5" max="5" width="11.421875" style="0" bestFit="1" customWidth="1"/>
    <col min="7" max="7" width="12.00390625" style="0" bestFit="1" customWidth="1"/>
    <col min="9" max="9" width="19.00390625" style="0" customWidth="1"/>
  </cols>
  <sheetData>
    <row r="1" spans="1:38" ht="20.25">
      <c r="A1" s="269" t="s">
        <v>849</v>
      </c>
      <c r="B1" s="50"/>
      <c r="C1" s="50"/>
      <c r="D1" s="50"/>
      <c r="E1" s="50"/>
      <c r="F1" s="50"/>
      <c r="G1" s="50"/>
      <c r="H1" s="167" t="s">
        <v>496</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3" spans="5:7" ht="12.75">
      <c r="E3" s="46"/>
      <c r="G3" s="46"/>
    </row>
    <row r="4" spans="2:7" ht="12.75">
      <c r="B4" s="170"/>
      <c r="E4" s="46"/>
      <c r="G4" s="46"/>
    </row>
    <row r="5" spans="1:7" ht="12.75">
      <c r="A5" s="290" t="s">
        <v>878</v>
      </c>
      <c r="B5" s="285" t="s">
        <v>100</v>
      </c>
      <c r="C5" s="290" t="s">
        <v>108</v>
      </c>
      <c r="E5" s="46"/>
      <c r="G5" s="46"/>
    </row>
    <row r="6" spans="1:9" ht="12.75">
      <c r="A6" s="48" t="s">
        <v>183</v>
      </c>
      <c r="B6">
        <f>0.085-0.068</f>
        <v>0.017</v>
      </c>
      <c r="C6" s="48" t="s">
        <v>462</v>
      </c>
      <c r="E6" s="46"/>
      <c r="G6" s="46"/>
      <c r="I6" s="48" t="s">
        <v>494</v>
      </c>
    </row>
    <row r="7" spans="1:7" ht="12.75">
      <c r="A7" s="48" t="s">
        <v>463</v>
      </c>
      <c r="B7">
        <f>0.00000919-0.00000893</f>
        <v>2.600000000000009E-07</v>
      </c>
      <c r="C7" s="48" t="s">
        <v>462</v>
      </c>
      <c r="E7" s="46"/>
      <c r="G7" s="46"/>
    </row>
    <row r="8" spans="1:7" ht="12.75">
      <c r="A8" s="48"/>
      <c r="B8" s="168"/>
      <c r="C8" s="48"/>
      <c r="E8" s="46"/>
      <c r="G8" s="46"/>
    </row>
    <row r="9" spans="2:7" ht="12.75">
      <c r="B9" s="46"/>
      <c r="E9" s="46"/>
      <c r="G9" s="46"/>
    </row>
    <row r="10" spans="1:7" ht="12.75">
      <c r="A10" s="48" t="s">
        <v>183</v>
      </c>
      <c r="B10" s="46">
        <f>B6/Conversions!D10</f>
        <v>0.007711070296466432</v>
      </c>
      <c r="C10" s="48" t="s">
        <v>464</v>
      </c>
      <c r="E10" s="46"/>
      <c r="G10" s="46"/>
    </row>
    <row r="11" spans="1:7" ht="12.75">
      <c r="A11" s="291" t="s">
        <v>183</v>
      </c>
      <c r="B11" s="292">
        <f>B10/(MineProduction!B13*Conversions!D19)</f>
        <v>6.970896346340609E-12</v>
      </c>
      <c r="C11" s="291" t="s">
        <v>293</v>
      </c>
      <c r="E11" s="267"/>
      <c r="G11" s="46"/>
    </row>
    <row r="12" spans="1:7" ht="12.75">
      <c r="A12" s="271"/>
      <c r="B12" s="289"/>
      <c r="C12" s="271"/>
      <c r="E12" s="46"/>
      <c r="G12" s="46"/>
    </row>
    <row r="13" spans="1:7" ht="12.75">
      <c r="A13" s="271" t="s">
        <v>463</v>
      </c>
      <c r="B13" s="289">
        <f>B7/Conversions!D10</f>
        <v>1.1793401629889877E-07</v>
      </c>
      <c r="C13" s="271" t="s">
        <v>464</v>
      </c>
      <c r="E13" s="46"/>
      <c r="G13" s="46"/>
    </row>
    <row r="14" spans="1:7" ht="12.75">
      <c r="A14" s="291" t="s">
        <v>463</v>
      </c>
      <c r="B14" s="292">
        <f>B13/(MineProduction!B13*Conversions!D19)</f>
        <v>1.0661370882638615E-16</v>
      </c>
      <c r="C14" s="291" t="s">
        <v>293</v>
      </c>
      <c r="E14" s="268"/>
      <c r="G14" s="46"/>
    </row>
    <row r="15" spans="1:7" ht="12.75">
      <c r="A15" s="46"/>
      <c r="C15" s="46"/>
      <c r="E15" s="46"/>
      <c r="G15" s="46"/>
    </row>
    <row r="16" spans="1:7" ht="12.75">
      <c r="A16" s="234"/>
      <c r="B16" s="51"/>
      <c r="C16" s="235"/>
      <c r="D16" s="51"/>
      <c r="E16" s="46"/>
      <c r="G16" s="46"/>
    </row>
    <row r="17" spans="1:7" ht="12.75">
      <c r="A17" s="46"/>
      <c r="B17" s="80"/>
      <c r="C17" s="236"/>
      <c r="D17" s="80"/>
      <c r="E17" s="46"/>
      <c r="G17" s="46"/>
    </row>
    <row r="19" ht="12.75">
      <c r="I19" s="51"/>
    </row>
    <row r="20" ht="12.75">
      <c r="I20" s="51"/>
    </row>
    <row r="30" ht="12.75">
      <c r="K30" s="48"/>
    </row>
    <row r="31" ht="12.75">
      <c r="J31" s="48"/>
    </row>
    <row r="32" spans="2:3" ht="12.75">
      <c r="B32" s="48"/>
      <c r="C32" s="48"/>
    </row>
    <row r="33" spans="1:11" ht="12.75">
      <c r="A33" s="48" t="s">
        <v>469</v>
      </c>
      <c r="B33">
        <v>102</v>
      </c>
      <c r="C33" s="48" t="s">
        <v>466</v>
      </c>
      <c r="I33" s="271" t="s">
        <v>884</v>
      </c>
      <c r="K33" s="48"/>
    </row>
    <row r="34" spans="4:8" ht="12.75">
      <c r="D34" s="48"/>
      <c r="H34" s="48"/>
    </row>
    <row r="35" spans="1:9" ht="12.75">
      <c r="A35" s="48" t="s">
        <v>465</v>
      </c>
      <c r="B35">
        <v>293.4</v>
      </c>
      <c r="C35" s="48" t="s">
        <v>467</v>
      </c>
      <c r="D35" s="48"/>
      <c r="H35" s="48"/>
      <c r="I35" s="48" t="s">
        <v>468</v>
      </c>
    </row>
    <row r="36" spans="1:8" ht="12.75">
      <c r="A36" s="48" t="s">
        <v>465</v>
      </c>
      <c r="B36">
        <f>B35*10^6</f>
        <v>293400000</v>
      </c>
      <c r="C36" s="48" t="s">
        <v>170</v>
      </c>
      <c r="D36" s="48"/>
      <c r="H36" s="48"/>
    </row>
    <row r="37" spans="1:8" ht="12.75">
      <c r="A37" s="48" t="s">
        <v>465</v>
      </c>
      <c r="B37">
        <f>B36*Conversions!D9</f>
        <v>266168002716</v>
      </c>
      <c r="C37" s="48" t="s">
        <v>169</v>
      </c>
      <c r="D37" s="48"/>
      <c r="H37" s="48"/>
    </row>
    <row r="38" spans="2:8" ht="12.75">
      <c r="B38" s="48"/>
      <c r="D38" s="48"/>
      <c r="H38" s="48"/>
    </row>
    <row r="39" spans="1:3" ht="12.75">
      <c r="A39" s="291" t="s">
        <v>469</v>
      </c>
      <c r="B39" s="291">
        <f>B33*Conversions!D9/$B$37</f>
        <v>3.4764826175869123E-07</v>
      </c>
      <c r="C39" s="291" t="s">
        <v>293</v>
      </c>
    </row>
    <row r="40" spans="1:5" ht="12.75">
      <c r="A40" s="51"/>
      <c r="B40" s="237"/>
      <c r="C40" s="237"/>
      <c r="D40" s="237"/>
      <c r="E40" s="238"/>
    </row>
    <row r="41" spans="1:5" ht="12.75">
      <c r="A41" s="1" t="s">
        <v>885</v>
      </c>
      <c r="E41" s="46"/>
    </row>
    <row r="42" spans="1:3" ht="12.75">
      <c r="A42" t="s">
        <v>470</v>
      </c>
      <c r="B42" s="287">
        <v>32.066</v>
      </c>
      <c r="C42" s="288" t="s">
        <v>471</v>
      </c>
    </row>
    <row r="43" spans="1:7" ht="12.75">
      <c r="A43" t="s">
        <v>472</v>
      </c>
      <c r="B43" s="287">
        <v>15.9994</v>
      </c>
      <c r="C43" s="288" t="s">
        <v>471</v>
      </c>
      <c r="G43" s="46"/>
    </row>
    <row r="44" spans="1:7" ht="12.75">
      <c r="A44" t="s">
        <v>473</v>
      </c>
      <c r="B44" s="168">
        <f>B42+B43*2</f>
        <v>64.0648</v>
      </c>
      <c r="C44" s="46" t="s">
        <v>471</v>
      </c>
      <c r="G44" s="46"/>
    </row>
    <row r="45" spans="1:7" ht="12.75">
      <c r="A45" t="s">
        <v>474</v>
      </c>
      <c r="B45" s="168">
        <f>B44</f>
        <v>64.0648</v>
      </c>
      <c r="C45" s="46" t="s">
        <v>475</v>
      </c>
      <c r="G45" s="46"/>
    </row>
    <row r="46" spans="1:7" ht="12.75">
      <c r="A46" t="s">
        <v>476</v>
      </c>
      <c r="B46" s="168">
        <f>B45/1000</f>
        <v>0.0640648</v>
      </c>
      <c r="C46" s="46" t="s">
        <v>477</v>
      </c>
      <c r="G46" s="46"/>
    </row>
    <row r="47" spans="1:7" ht="12.75">
      <c r="A47" t="s">
        <v>478</v>
      </c>
      <c r="B47">
        <f>0.000015</f>
        <v>1.5E-05</v>
      </c>
      <c r="C47" s="46" t="s">
        <v>479</v>
      </c>
      <c r="G47" s="46"/>
    </row>
    <row r="48" spans="1:7" ht="25.5">
      <c r="A48" t="s">
        <v>480</v>
      </c>
      <c r="B48" s="168">
        <f>B47/B42</f>
        <v>4.677851930393563E-07</v>
      </c>
      <c r="C48" s="46" t="s">
        <v>481</v>
      </c>
      <c r="G48" s="46"/>
    </row>
    <row r="49" spans="1:7" ht="25.5">
      <c r="A49" t="s">
        <v>482</v>
      </c>
      <c r="B49" s="168">
        <f>B48</f>
        <v>4.677851930393563E-07</v>
      </c>
      <c r="C49" s="46" t="s">
        <v>483</v>
      </c>
      <c r="G49" s="46"/>
    </row>
    <row r="50" spans="1:7" ht="25.5">
      <c r="A50" s="291" t="s">
        <v>484</v>
      </c>
      <c r="B50" s="293">
        <f>B49*B46</f>
        <v>2.996856483502775E-08</v>
      </c>
      <c r="C50" s="294" t="s">
        <v>484</v>
      </c>
      <c r="G50" s="46"/>
    </row>
    <row r="51" ht="12.75">
      <c r="G51" s="46"/>
    </row>
    <row r="52" spans="1:7" ht="12.75">
      <c r="A52" s="1" t="s">
        <v>485</v>
      </c>
      <c r="E52" s="46"/>
      <c r="G52" s="46"/>
    </row>
    <row r="53" spans="1:9" ht="12.75">
      <c r="A53" s="271" t="s">
        <v>485</v>
      </c>
      <c r="B53" s="50">
        <v>0.11</v>
      </c>
      <c r="C53" t="s">
        <v>179</v>
      </c>
      <c r="D53" s="46"/>
      <c r="G53" s="46"/>
      <c r="I53" s="48" t="s">
        <v>843</v>
      </c>
    </row>
    <row r="54" spans="1:7" ht="12.75">
      <c r="A54" s="271" t="s">
        <v>485</v>
      </c>
      <c r="B54" s="291">
        <f>B53/1000/Conversions!D24</f>
        <v>0.00012947736078734428</v>
      </c>
      <c r="C54" s="48" t="s">
        <v>486</v>
      </c>
      <c r="D54" s="46"/>
      <c r="G54" s="46"/>
    </row>
    <row r="55" spans="4:7" ht="12.75">
      <c r="D55" s="46"/>
      <c r="G55" s="46"/>
    </row>
    <row r="56" spans="5:7" ht="12.75">
      <c r="E56" s="46"/>
      <c r="G56" s="46"/>
    </row>
    <row r="57" spans="5:7" ht="12.75">
      <c r="E57" s="46"/>
      <c r="G57" s="46"/>
    </row>
    <row r="58" spans="5:7" ht="12.75">
      <c r="E58" s="46"/>
      <c r="G58" s="46"/>
    </row>
    <row r="59" spans="5:7" ht="12.75">
      <c r="E59" s="46"/>
      <c r="G59" s="46"/>
    </row>
    <row r="60" spans="5:7" ht="12.75">
      <c r="E60" s="46"/>
      <c r="G60" s="46"/>
    </row>
    <row r="61" spans="5:7" ht="12.75">
      <c r="E61" s="46"/>
      <c r="G61" s="46"/>
    </row>
    <row r="62" spans="5:7" ht="12.75">
      <c r="E62" s="46"/>
      <c r="G62" s="46"/>
    </row>
    <row r="63" spans="5:7" ht="12.75">
      <c r="E63" s="46"/>
      <c r="G63" s="46"/>
    </row>
    <row r="64" spans="5:7" ht="12.75">
      <c r="E64" s="46"/>
      <c r="G64" s="46"/>
    </row>
    <row r="65" spans="5:7" ht="12.75">
      <c r="E65" s="46"/>
      <c r="G65" s="46"/>
    </row>
    <row r="66" spans="5:7" ht="12.75">
      <c r="E66" s="46"/>
      <c r="G66" s="46"/>
    </row>
    <row r="67" spans="5:7" ht="12.75">
      <c r="E67" s="46"/>
      <c r="G67" s="46"/>
    </row>
    <row r="68" spans="5:7" ht="12.75">
      <c r="E68" s="46"/>
      <c r="G68" s="46"/>
    </row>
    <row r="69" spans="5:7" ht="12.75">
      <c r="E69" s="46"/>
      <c r="G69" s="46"/>
    </row>
    <row r="70" spans="5:7" ht="12.75">
      <c r="E70" s="46"/>
      <c r="G70" s="46"/>
    </row>
    <row r="71" spans="5:7" ht="12.75">
      <c r="E71" s="46"/>
      <c r="G71" s="46"/>
    </row>
    <row r="72" spans="5:7" ht="12.75">
      <c r="E72" s="46"/>
      <c r="G72" s="46"/>
    </row>
    <row r="73" spans="5:7" ht="12.75">
      <c r="E73" s="46"/>
      <c r="G73" s="46"/>
    </row>
    <row r="74" spans="5:7" ht="12.75">
      <c r="E74" s="46"/>
      <c r="G74" s="46"/>
    </row>
    <row r="75" spans="5:7" ht="12.75">
      <c r="E75" s="46"/>
      <c r="G75" s="46"/>
    </row>
    <row r="76" spans="5:9" ht="12.75">
      <c r="E76" s="46"/>
      <c r="G76" s="46"/>
      <c r="I76" s="48" t="s">
        <v>844</v>
      </c>
    </row>
    <row r="77" spans="5:7" ht="12.75">
      <c r="E77" s="46"/>
      <c r="G77" s="46"/>
    </row>
    <row r="78" spans="1:7" ht="12.75">
      <c r="A78" s="1" t="s">
        <v>185</v>
      </c>
      <c r="E78" s="46"/>
      <c r="G78" s="46"/>
    </row>
    <row r="79" spans="5:7" ht="12.75">
      <c r="E79" s="46"/>
      <c r="G79" s="46"/>
    </row>
    <row r="80" spans="2:7" ht="12.75">
      <c r="B80" s="55" t="s">
        <v>175</v>
      </c>
      <c r="C80" s="55" t="s">
        <v>176</v>
      </c>
      <c r="G80" s="46"/>
    </row>
    <row r="81" spans="2:7" ht="12.75">
      <c r="B81" s="54">
        <v>0.15</v>
      </c>
      <c r="C81" s="54">
        <v>19</v>
      </c>
      <c r="G81" s="46"/>
    </row>
    <row r="82" spans="2:7" ht="12.75">
      <c r="B82" s="54">
        <v>0.4</v>
      </c>
      <c r="C82" s="54">
        <v>1</v>
      </c>
      <c r="G82" s="46"/>
    </row>
    <row r="83" spans="2:7" ht="12.75">
      <c r="B83" s="56">
        <v>0.034</v>
      </c>
      <c r="C83" s="56">
        <v>1</v>
      </c>
      <c r="G83" s="46"/>
    </row>
    <row r="84" spans="1:7" ht="12.75">
      <c r="A84" s="271" t="s">
        <v>177</v>
      </c>
      <c r="B84" s="295">
        <f>(B81*C81+B82*C82+B83*C83)/(C83+C82+C81)</f>
        <v>0.15638095238095237</v>
      </c>
      <c r="C84" s="271">
        <f>SUM(C81:C83)</f>
        <v>21</v>
      </c>
      <c r="D84" s="271" t="s">
        <v>186</v>
      </c>
      <c r="G84" s="46"/>
    </row>
    <row r="85" spans="1:7" ht="12.75">
      <c r="A85" s="271"/>
      <c r="B85" s="271">
        <f>B84*1000</f>
        <v>156.38095238095238</v>
      </c>
      <c r="C85" s="271"/>
      <c r="D85" s="271" t="s">
        <v>487</v>
      </c>
      <c r="G85" s="46"/>
    </row>
    <row r="86" spans="1:7" ht="12.75">
      <c r="A86" s="271"/>
      <c r="B86" s="291">
        <f>B85/10^12</f>
        <v>1.5638095238095238E-10</v>
      </c>
      <c r="C86" s="294"/>
      <c r="D86" s="291" t="s">
        <v>488</v>
      </c>
      <c r="G86" s="46"/>
    </row>
    <row r="87" spans="1:7" ht="12.75">
      <c r="A87" t="s">
        <v>178</v>
      </c>
      <c r="C87" s="46"/>
      <c r="G87" s="46"/>
    </row>
    <row r="88" spans="5:7" ht="12.75">
      <c r="E88" s="46"/>
      <c r="G88" s="46"/>
    </row>
    <row r="89" spans="5:7" ht="12.75">
      <c r="E89" s="46"/>
      <c r="G89" s="46"/>
    </row>
    <row r="90" spans="5:7" ht="12.75">
      <c r="E90" s="46"/>
      <c r="G90" s="46"/>
    </row>
    <row r="91" spans="5:7" ht="12.75">
      <c r="E91" s="46"/>
      <c r="G91" s="46"/>
    </row>
    <row r="92" spans="5:7" ht="12.75">
      <c r="E92" s="46"/>
      <c r="G92" s="46"/>
    </row>
    <row r="93" spans="5:7" ht="12.75">
      <c r="E93" s="46"/>
      <c r="G93" s="46"/>
    </row>
    <row r="94" spans="5:7" ht="12.75">
      <c r="E94" s="46"/>
      <c r="G94" s="46"/>
    </row>
    <row r="95" spans="5:7" ht="12.75">
      <c r="E95" s="46"/>
      <c r="G95" s="46"/>
    </row>
    <row r="96" spans="5:7" ht="12.75">
      <c r="E96" s="46"/>
      <c r="G96" s="46"/>
    </row>
    <row r="97" spans="5:7" ht="12.75">
      <c r="E97" s="46"/>
      <c r="G97" s="46"/>
    </row>
    <row r="98" spans="1:7" ht="12.75">
      <c r="A98" s="1" t="s">
        <v>886</v>
      </c>
      <c r="E98" s="46"/>
      <c r="G98" s="46"/>
    </row>
    <row r="99" spans="5:7" ht="12.75">
      <c r="E99" s="46"/>
      <c r="G99" s="46"/>
    </row>
    <row r="100" spans="1:9" ht="12.75">
      <c r="A100" s="48" t="s">
        <v>489</v>
      </c>
      <c r="B100">
        <f>AVERAGE(872,871)</f>
        <v>871.5</v>
      </c>
      <c r="C100" s="48" t="s">
        <v>490</v>
      </c>
      <c r="D100" s="46"/>
      <c r="F100" s="46"/>
      <c r="I100" s="48" t="s">
        <v>497</v>
      </c>
    </row>
    <row r="101" spans="1:6" ht="12.75">
      <c r="A101" s="48" t="s">
        <v>491</v>
      </c>
      <c r="B101">
        <v>35000000</v>
      </c>
      <c r="C101" s="48" t="s">
        <v>490</v>
      </c>
      <c r="D101" s="46"/>
      <c r="F101" s="46"/>
    </row>
    <row r="102" spans="1:6" ht="12.75">
      <c r="A102" s="48" t="s">
        <v>491</v>
      </c>
      <c r="B102">
        <f>B101*Conversions!D9</f>
        <v>31751465900</v>
      </c>
      <c r="C102" s="48" t="s">
        <v>347</v>
      </c>
      <c r="D102" s="46"/>
      <c r="F102" s="46"/>
    </row>
    <row r="103" spans="1:6" ht="12.75">
      <c r="A103" s="48" t="s">
        <v>489</v>
      </c>
      <c r="B103" s="211">
        <f>B100*Conversions!D9</f>
        <v>790611.5009100001</v>
      </c>
      <c r="C103" s="48" t="s">
        <v>347</v>
      </c>
      <c r="D103" s="46"/>
      <c r="F103" s="46"/>
    </row>
    <row r="104" spans="1:7" ht="12.75" customHeight="1">
      <c r="A104" s="291" t="s">
        <v>492</v>
      </c>
      <c r="B104" s="291">
        <f>B103/B102</f>
        <v>2.4900000000000002E-05</v>
      </c>
      <c r="C104" s="291" t="s">
        <v>293</v>
      </c>
      <c r="D104" s="411" t="s">
        <v>493</v>
      </c>
      <c r="E104" s="411"/>
      <c r="F104" s="411"/>
      <c r="G104" s="282"/>
    </row>
    <row r="105" spans="4:11" ht="43.5" customHeight="1">
      <c r="D105" s="411" t="s">
        <v>883</v>
      </c>
      <c r="E105" s="411"/>
      <c r="F105" s="411"/>
      <c r="G105" s="52"/>
      <c r="I105" s="52"/>
      <c r="J105" s="52"/>
      <c r="K105" s="52"/>
    </row>
    <row r="106" spans="5:7" ht="12.75">
      <c r="E106" s="46"/>
      <c r="G106" s="46"/>
    </row>
    <row r="107" spans="5:7" ht="12.75">
      <c r="E107" s="46"/>
      <c r="G107" s="46"/>
    </row>
    <row r="108" spans="5:7" ht="12.75">
      <c r="E108" s="46"/>
      <c r="G108" s="46"/>
    </row>
    <row r="109" spans="5:7" ht="12.75">
      <c r="E109" s="46"/>
      <c r="G109" s="46"/>
    </row>
    <row r="110" spans="5:7" ht="12.75">
      <c r="E110" s="46"/>
      <c r="G110" s="46"/>
    </row>
    <row r="111" spans="5:7" ht="12.75">
      <c r="E111" s="46"/>
      <c r="G111" s="46"/>
    </row>
    <row r="112" spans="5:7" ht="12.75">
      <c r="E112" s="46"/>
      <c r="G112" s="46"/>
    </row>
    <row r="113" spans="5:7" ht="12.75">
      <c r="E113" s="46"/>
      <c r="G113" s="46"/>
    </row>
  </sheetData>
  <sheetProtection/>
  <mergeCells count="2">
    <mergeCell ref="D104:F104"/>
    <mergeCell ref="D105:F105"/>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AL43"/>
  <sheetViews>
    <sheetView zoomScalePageLayoutView="0" workbookViewId="0" topLeftCell="A1">
      <selection activeCell="A1" sqref="A1"/>
    </sheetView>
  </sheetViews>
  <sheetFormatPr defaultColWidth="9.140625" defaultRowHeight="12.75"/>
  <cols>
    <col min="5" max="5" width="10.7109375" style="0" customWidth="1"/>
    <col min="11" max="11" width="20.140625" style="0" bestFit="1" customWidth="1"/>
  </cols>
  <sheetData>
    <row r="1" spans="1:38" ht="20.25">
      <c r="A1" s="269" t="s">
        <v>849</v>
      </c>
      <c r="B1" s="50"/>
      <c r="C1" s="50"/>
      <c r="D1" s="50"/>
      <c r="E1" s="50"/>
      <c r="F1" s="50"/>
      <c r="G1" s="50"/>
      <c r="H1" s="167" t="s">
        <v>657</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5" spans="1:9" ht="25.5" customHeight="1">
      <c r="A5" s="412" t="s">
        <v>498</v>
      </c>
      <c r="B5" s="412"/>
      <c r="C5" s="412"/>
      <c r="D5" s="412"/>
      <c r="E5" s="412"/>
      <c r="F5" s="412"/>
      <c r="G5" s="412"/>
      <c r="I5" s="48" t="s">
        <v>845</v>
      </c>
    </row>
    <row r="6" ht="12.75">
      <c r="A6" t="s">
        <v>499</v>
      </c>
    </row>
    <row r="7" ht="12.75">
      <c r="B7" s="170"/>
    </row>
    <row r="8" spans="1:2" ht="12.75">
      <c r="A8" s="296" t="s">
        <v>100</v>
      </c>
      <c r="B8" s="297" t="s">
        <v>108</v>
      </c>
    </row>
    <row r="9" ht="12.75">
      <c r="A9" s="170"/>
    </row>
    <row r="10" spans="1:2" ht="12.75">
      <c r="A10" s="170">
        <v>83660</v>
      </c>
      <c r="B10" t="s">
        <v>500</v>
      </c>
    </row>
    <row r="11" spans="1:2" ht="12.75">
      <c r="A11" s="170">
        <v>7682</v>
      </c>
      <c r="B11" t="s">
        <v>501</v>
      </c>
    </row>
    <row r="12" spans="1:2" ht="12.75">
      <c r="A12" s="170">
        <v>10585</v>
      </c>
      <c r="B12" t="s">
        <v>502</v>
      </c>
    </row>
    <row r="13" spans="1:2" ht="12.75">
      <c r="A13" s="170">
        <f>7100000+910*A10+650*A11</f>
        <v>88223900</v>
      </c>
      <c r="B13" t="s">
        <v>168</v>
      </c>
    </row>
    <row r="14" spans="1:9" ht="12.75">
      <c r="A14" s="170">
        <f>A13/A10</f>
        <v>1054.5529524264882</v>
      </c>
      <c r="B14" t="s">
        <v>503</v>
      </c>
      <c r="I14" t="s">
        <v>504</v>
      </c>
    </row>
    <row r="15" ht="12.75">
      <c r="A15" s="170"/>
    </row>
    <row r="16" ht="12.75">
      <c r="A16" s="170"/>
    </row>
    <row r="17" spans="1:9" ht="12.75">
      <c r="A17" s="170">
        <f>81225+25240</f>
        <v>106465</v>
      </c>
      <c r="B17" s="48" t="s">
        <v>656</v>
      </c>
      <c r="I17" s="48" t="s">
        <v>846</v>
      </c>
    </row>
    <row r="18" spans="1:20" ht="12.75" customHeight="1">
      <c r="A18" s="170">
        <f>A17/(83660/1000)</f>
        <v>1272.5914415491275</v>
      </c>
      <c r="B18" t="s">
        <v>505</v>
      </c>
      <c r="E18" s="415" t="s">
        <v>506</v>
      </c>
      <c r="F18" s="415"/>
      <c r="G18" s="415"/>
      <c r="J18" s="74" t="s">
        <v>508</v>
      </c>
      <c r="K18" s="74" t="s">
        <v>509</v>
      </c>
      <c r="L18" s="74" t="s">
        <v>510</v>
      </c>
      <c r="M18" s="74" t="s">
        <v>511</v>
      </c>
      <c r="N18" s="413" t="s">
        <v>507</v>
      </c>
      <c r="O18" s="414"/>
      <c r="P18" s="414"/>
      <c r="Q18" s="414"/>
      <c r="R18" s="414"/>
      <c r="S18" s="414"/>
      <c r="T18" s="414"/>
    </row>
    <row r="19" spans="1:20" ht="12.75">
      <c r="A19" s="298">
        <f>A18/1000/Conversions!D9</f>
        <v>0.0014027919402051752</v>
      </c>
      <c r="B19" s="291" t="s">
        <v>180</v>
      </c>
      <c r="E19" s="415"/>
      <c r="F19" s="415"/>
      <c r="G19" s="415"/>
      <c r="J19" s="74" t="s">
        <v>512</v>
      </c>
      <c r="K19" s="74" t="s">
        <v>513</v>
      </c>
      <c r="L19" s="74" t="s">
        <v>514</v>
      </c>
      <c r="M19" s="240" t="s">
        <v>515</v>
      </c>
      <c r="N19" s="413"/>
      <c r="O19" s="414"/>
      <c r="P19" s="414"/>
      <c r="Q19" s="414"/>
      <c r="R19" s="414"/>
      <c r="S19" s="414"/>
      <c r="T19" s="414"/>
    </row>
    <row r="20" spans="2:20" ht="12.75">
      <c r="B20" s="170"/>
      <c r="J20" s="74" t="s">
        <v>516</v>
      </c>
      <c r="K20" s="74" t="s">
        <v>517</v>
      </c>
      <c r="L20" s="74" t="s">
        <v>518</v>
      </c>
      <c r="M20" s="240" t="s">
        <v>519</v>
      </c>
      <c r="N20" s="413"/>
      <c r="O20" s="414"/>
      <c r="P20" s="414"/>
      <c r="Q20" s="414"/>
      <c r="R20" s="414"/>
      <c r="S20" s="414"/>
      <c r="T20" s="414"/>
    </row>
    <row r="21" spans="10:20" ht="12.75">
      <c r="J21" s="74" t="s">
        <v>520</v>
      </c>
      <c r="K21" s="74" t="s">
        <v>513</v>
      </c>
      <c r="L21" s="74" t="s">
        <v>521</v>
      </c>
      <c r="M21" s="240" t="s">
        <v>522</v>
      </c>
      <c r="N21" s="413"/>
      <c r="O21" s="414"/>
      <c r="P21" s="414"/>
      <c r="Q21" s="414"/>
      <c r="R21" s="414"/>
      <c r="S21" s="414"/>
      <c r="T21" s="414"/>
    </row>
    <row r="22" spans="10:20" ht="12.75">
      <c r="J22" s="74" t="s">
        <v>523</v>
      </c>
      <c r="K22" s="74" t="s">
        <v>513</v>
      </c>
      <c r="L22" s="74" t="s">
        <v>524</v>
      </c>
      <c r="M22" s="240" t="s">
        <v>522</v>
      </c>
      <c r="N22" s="413"/>
      <c r="O22" s="414"/>
      <c r="P22" s="414"/>
      <c r="Q22" s="414"/>
      <c r="R22" s="414"/>
      <c r="S22" s="414"/>
      <c r="T22" s="414"/>
    </row>
    <row r="23" spans="10:20" ht="12.75">
      <c r="J23" s="74" t="s">
        <v>525</v>
      </c>
      <c r="K23" s="74" t="s">
        <v>513</v>
      </c>
      <c r="L23" s="74" t="s">
        <v>526</v>
      </c>
      <c r="M23" s="240" t="s">
        <v>522</v>
      </c>
      <c r="N23" s="413"/>
      <c r="O23" s="414"/>
      <c r="P23" s="414"/>
      <c r="Q23" s="414"/>
      <c r="R23" s="414"/>
      <c r="S23" s="414"/>
      <c r="T23" s="414"/>
    </row>
    <row r="24" spans="10:13" s="124" customFormat="1" ht="12.75">
      <c r="J24" s="74" t="s">
        <v>527</v>
      </c>
      <c r="K24" s="74" t="s">
        <v>528</v>
      </c>
      <c r="L24" s="74" t="s">
        <v>529</v>
      </c>
      <c r="M24" s="240" t="s">
        <v>530</v>
      </c>
    </row>
    <row r="25" spans="10:13" ht="12.75">
      <c r="J25" s="74" t="s">
        <v>531</v>
      </c>
      <c r="K25" s="74" t="s">
        <v>532</v>
      </c>
      <c r="L25" s="74" t="s">
        <v>533</v>
      </c>
      <c r="M25" s="240" t="s">
        <v>534</v>
      </c>
    </row>
    <row r="26" spans="10:13" ht="12.75">
      <c r="J26" s="74" t="s">
        <v>535</v>
      </c>
      <c r="K26" s="74" t="s">
        <v>536</v>
      </c>
      <c r="L26" s="74" t="s">
        <v>537</v>
      </c>
      <c r="M26" s="240" t="s">
        <v>538</v>
      </c>
    </row>
    <row r="27" spans="10:13" ht="12.75">
      <c r="J27" s="74" t="s">
        <v>539</v>
      </c>
      <c r="K27" s="74" t="s">
        <v>540</v>
      </c>
      <c r="L27" s="74" t="s">
        <v>541</v>
      </c>
      <c r="M27" s="240" t="s">
        <v>542</v>
      </c>
    </row>
    <row r="28" spans="10:13" ht="12.75">
      <c r="J28" s="74" t="s">
        <v>285</v>
      </c>
      <c r="K28" s="74" t="s">
        <v>543</v>
      </c>
      <c r="L28" s="74" t="s">
        <v>544</v>
      </c>
      <c r="M28" s="240" t="s">
        <v>545</v>
      </c>
    </row>
    <row r="30" spans="9:13" ht="12.75">
      <c r="I30" s="48" t="s">
        <v>846</v>
      </c>
      <c r="J30" s="54"/>
      <c r="K30" s="54"/>
      <c r="L30" s="54"/>
      <c r="M30" s="54"/>
    </row>
    <row r="31" spans="10:17" ht="12.75">
      <c r="J31" s="54"/>
      <c r="K31" s="54"/>
      <c r="L31" s="54"/>
      <c r="M31" s="54"/>
      <c r="Q31" t="s">
        <v>652</v>
      </c>
    </row>
    <row r="32" spans="10:17" ht="12.75">
      <c r="J32" s="54"/>
      <c r="K32" s="54"/>
      <c r="L32" s="54"/>
      <c r="M32" s="243"/>
      <c r="Q32" t="s">
        <v>653</v>
      </c>
    </row>
    <row r="33" spans="10:17" ht="12.75">
      <c r="J33" s="54"/>
      <c r="K33" s="54"/>
      <c r="L33" s="54"/>
      <c r="M33" s="54"/>
      <c r="Q33" t="s">
        <v>654</v>
      </c>
    </row>
    <row r="34" spans="10:17" ht="12.75">
      <c r="J34" s="54"/>
      <c r="K34" s="54"/>
      <c r="L34" s="54"/>
      <c r="M34" s="54"/>
      <c r="Q34" t="s">
        <v>655</v>
      </c>
    </row>
    <row r="35" spans="10:13" ht="12.75">
      <c r="J35" s="54"/>
      <c r="K35" s="54"/>
      <c r="L35" s="54"/>
      <c r="M35" s="54"/>
    </row>
    <row r="36" spans="10:13" ht="12.75">
      <c r="J36" s="54"/>
      <c r="K36" s="54"/>
      <c r="L36" s="54"/>
      <c r="M36" s="54"/>
    </row>
    <row r="37" spans="10:13" ht="12.75">
      <c r="J37" s="54"/>
      <c r="K37" s="54"/>
      <c r="L37" s="54"/>
      <c r="M37" s="54"/>
    </row>
    <row r="41" ht="12.75">
      <c r="E41" s="241"/>
    </row>
    <row r="43" ht="12.75">
      <c r="B43" s="242"/>
    </row>
  </sheetData>
  <sheetProtection/>
  <mergeCells count="3">
    <mergeCell ref="A5:G5"/>
    <mergeCell ref="N18:T23"/>
    <mergeCell ref="E18:G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2010-02-27T05:43:13Z</cp:lastPrinted>
  <dcterms:created xsi:type="dcterms:W3CDTF">2006-08-24T17:49:09Z</dcterms:created>
  <dcterms:modified xsi:type="dcterms:W3CDTF">2013-11-04T15:31:38Z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