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tabRatio="876" activeTab="1"/>
  </bookViews>
  <sheets>
    <sheet name="Info" sheetId="1" r:id="rId1"/>
    <sheet name="Data Summary" sheetId="2" r:id="rId2"/>
    <sheet name="Reference Source Info" sheetId="3" r:id="rId3"/>
    <sheet name="DQI" sheetId="4" r:id="rId4"/>
    <sheet name="Elec Demand" sheetId="5" r:id="rId5"/>
    <sheet name="Diesel Use" sheetId="6" r:id="rId6"/>
    <sheet name="Diesel Emissions" sheetId="7" r:id="rId7"/>
    <sheet name="WQ Emissions" sheetId="8" r:id="rId8"/>
    <sheet name="Mine CH4" sheetId="9" r:id="rId9"/>
    <sheet name="Mine PM" sheetId="10" r:id="rId10"/>
    <sheet name="Mine Prod" sheetId="11" r:id="rId11"/>
    <sheet name="Water Usage" sheetId="12" r:id="rId12"/>
    <sheet name="Conversions" sheetId="13" r:id="rId13"/>
    <sheet name="Assumptions" sheetId="14" r:id="rId14"/>
    <sheet name="DQI sig check" sheetId="15" r:id="rId15"/>
  </sheets>
  <externalReferences>
    <externalReference r:id="rId18"/>
    <externalReference r:id="rId19"/>
  </externalReferences>
  <definedNames>
    <definedName name="Barrel_to_Gallons">'[1]Misc Factors'!$B$88</definedName>
    <definedName name="Catalytic_Reformer_Energy_Consumption_Sensitivity_Indicator">'[1]SA Inputs'!#REF!</definedName>
    <definedName name="Delayed_Coker_Energy_Consumption_Sensitivity_Indicator">'[1]SA Inputs'!#REF!</definedName>
    <definedName name="Hydrogen_Consump_minus_Production">'[1]H2 intensities'!#REF!</definedName>
    <definedName name="lstCompleteness" localSheetId="3">'[2]Data Summary'!$E$141:$E$146</definedName>
    <definedName name="lstCompleteness">'Data Summary'!$E$126:$E$131</definedName>
    <definedName name="lstOrigin" localSheetId="3">'[2]Data Summary'!$H$141:$H$146</definedName>
    <definedName name="lstOrigin">'Data Summary'!$H$126:$H$131</definedName>
    <definedName name="lstProcessScope" localSheetId="3">'[2]Data Summary'!$D$141:$D$145</definedName>
    <definedName name="lstProcessScope">'Data Summary'!$D$126:$D$130</definedName>
    <definedName name="lstProcessType" localSheetId="3">'[2]Data Summary'!$C$141:$C$150</definedName>
    <definedName name="lstProcessType">'Data Summary'!$C$126:$C$135</definedName>
    <definedName name="lstSourceType" localSheetId="3">'[2]Reference Source Info'!$B$53:$B$61</definedName>
    <definedName name="lstSourceType">'Reference Source Info'!$B$51:$B$59</definedName>
    <definedName name="lstTracked" localSheetId="3">'[2]Data Summary'!$J$141:$J$143</definedName>
    <definedName name="lstTracked">'Data Summary'!$J$126:$J$128</definedName>
    <definedName name="_xlnm.Print_Area" localSheetId="1">'Data Summary'!$A$1:$O$69</definedName>
    <definedName name="_xlnm.Print_Area" localSheetId="5">'Diesel Use'!$A$5:$M$35</definedName>
    <definedName name="_xlnm.Print_Area" localSheetId="3">'DQI'!$A$1:$K$53</definedName>
    <definedName name="_xlnm.Print_Area" localSheetId="0">'Info'!$A$1:$N$68</definedName>
    <definedName name="_xlnm.Print_Area" localSheetId="2">'Reference Source Info'!$A$1:$R$26</definedName>
    <definedName name="_xlnm.Print_Titles" localSheetId="5">'Diesel Use'!$A:$A</definedName>
    <definedName name="_xlnm.Print_Titles" localSheetId="2">'Reference Source Info'!$A:$A</definedName>
    <definedName name="Ton_to_Kilogram">'[1]Misc Factors'!#REF!</definedName>
    <definedName name="Vacuum_distillation_Energy_Consumption_Sensitivity_Indicator">'[1]SA Inputs'!#REF!</definedName>
    <definedName name="Weight_Conversion">'[1]Loss Factors'!#REF!</definedName>
  </definedNames>
  <calcPr fullCalcOnLoad="1"/>
</workbook>
</file>

<file path=xl/comments12.xml><?xml version="1.0" encoding="utf-8"?>
<comments xmlns="http://schemas.openxmlformats.org/spreadsheetml/2006/main">
  <authors>
    <author>Nancy L. Barber</author>
  </authors>
  <commentList>
    <comment ref="BZ35" authorId="0">
      <text>
        <r>
          <rPr>
            <b/>
            <sz val="9"/>
            <rFont val="Geneva"/>
            <family val="0"/>
          </rPr>
          <t>Total withdrawals, total, in Mgal/d</t>
        </r>
      </text>
    </comment>
    <comment ref="BY35" authorId="0">
      <text>
        <r>
          <rPr>
            <b/>
            <sz val="9"/>
            <rFont val="Geneva"/>
            <family val="0"/>
          </rPr>
          <t>Total withdrawals, saline, in Mgal/d</t>
        </r>
      </text>
    </comment>
    <comment ref="BX35" authorId="0">
      <text>
        <r>
          <rPr>
            <b/>
            <sz val="9"/>
            <rFont val="Geneva"/>
            <family val="0"/>
          </rPr>
          <t>Total withdrawals, fresh, in Mgal/d</t>
        </r>
      </text>
    </comment>
    <comment ref="BW35" authorId="0">
      <text>
        <r>
          <rPr>
            <b/>
            <sz val="9"/>
            <rFont val="Geneva"/>
            <family val="0"/>
          </rPr>
          <t>Total surface-water withdrawals, total, in Mgal/d</t>
        </r>
      </text>
    </comment>
    <comment ref="BV35" authorId="0">
      <text>
        <r>
          <rPr>
            <b/>
            <sz val="9"/>
            <rFont val="Geneva"/>
            <family val="0"/>
          </rPr>
          <t>Total surface-water withdrawals, saline, in Mgal/d</t>
        </r>
      </text>
    </comment>
    <comment ref="BU35" authorId="0">
      <text>
        <r>
          <rPr>
            <b/>
            <sz val="9"/>
            <rFont val="Geneva"/>
            <family val="0"/>
          </rPr>
          <t>Total surface-water withdrawals, fresh, in Mgal/d</t>
        </r>
      </text>
    </comment>
    <comment ref="BT35" authorId="0">
      <text>
        <r>
          <rPr>
            <b/>
            <sz val="9"/>
            <rFont val="Geneva"/>
            <family val="0"/>
          </rPr>
          <t>Total ground-water withdrawals, total, in Mgal/d</t>
        </r>
      </text>
    </comment>
    <comment ref="BS35" authorId="0">
      <text>
        <r>
          <rPr>
            <b/>
            <sz val="9"/>
            <rFont val="Geneva"/>
            <family val="0"/>
          </rPr>
          <t>Total ground-water withdrawals, saline, in Mgal/d</t>
        </r>
      </text>
    </comment>
    <comment ref="BR35" authorId="0">
      <text>
        <r>
          <rPr>
            <b/>
            <sz val="9"/>
            <rFont val="Geneva"/>
            <family val="0"/>
          </rPr>
          <t>Total ground-water withdrawals, fresh, in Mgal/d</t>
        </r>
      </text>
    </comment>
    <comment ref="BQ35" authorId="0">
      <text>
        <r>
          <rPr>
            <b/>
            <sz val="9"/>
            <rFont val="Geneva"/>
            <family val="0"/>
          </rPr>
          <t>Thermoelectric closed-loop, total 
withdrawals, total, in Mgal/d</t>
        </r>
      </text>
    </comment>
    <comment ref="BP35" authorId="0">
      <text>
        <r>
          <rPr>
            <b/>
            <sz val="9"/>
            <rFont val="Geneva"/>
            <family val="0"/>
          </rPr>
          <t>Thermoelectric closed-loop, total 
withdrawals, saline, in Mgal/d</t>
        </r>
      </text>
    </comment>
    <comment ref="BO35" authorId="0">
      <text>
        <r>
          <rPr>
            <b/>
            <sz val="9"/>
            <rFont val="Geneva"/>
            <family val="0"/>
          </rPr>
          <t>Thermoelectric closed-loop, total withdrawals, fresh, in Mgal/d</t>
        </r>
      </text>
    </comment>
    <comment ref="BN35" authorId="0">
      <text>
        <r>
          <rPr>
            <b/>
            <sz val="9"/>
            <rFont val="Geneva"/>
            <family val="0"/>
          </rPr>
          <t>Thermoelectric closed-loop, surface-water withdrawals, total, in Mgal/d</t>
        </r>
      </text>
    </comment>
    <comment ref="BM35" authorId="0">
      <text>
        <r>
          <rPr>
            <b/>
            <sz val="9"/>
            <rFont val="Geneva"/>
            <family val="0"/>
          </rPr>
          <t>Thermoelectric closed-loop, surface-water withdrawals, saline, in Mgal/d</t>
        </r>
      </text>
    </comment>
    <comment ref="BL35" authorId="0">
      <text>
        <r>
          <rPr>
            <b/>
            <sz val="9"/>
            <rFont val="Geneva"/>
            <family val="0"/>
          </rPr>
          <t>Thermoelectric closed-loop, surface-water withdrawals, fresh, in Mgal/d</t>
        </r>
      </text>
    </comment>
    <comment ref="BK35" authorId="0">
      <text>
        <r>
          <rPr>
            <b/>
            <sz val="9"/>
            <rFont val="Geneva"/>
            <family val="0"/>
          </rPr>
          <t>Thermoelectric closed-loop, ground-water withdrawals, fresh, in Mgal/d</t>
        </r>
      </text>
    </comment>
    <comment ref="BJ35" authorId="0">
      <text>
        <r>
          <rPr>
            <b/>
            <sz val="9"/>
            <rFont val="Geneva"/>
            <family val="0"/>
          </rPr>
          <t>Thermoelectric once-through, surface-water withdrawals, total, in Mgal/d</t>
        </r>
      </text>
    </comment>
    <comment ref="BI35" authorId="0">
      <text>
        <r>
          <rPr>
            <b/>
            <sz val="9"/>
            <rFont val="Geneva"/>
            <family val="0"/>
          </rPr>
          <t>Thermoelectric once-through, surface-water withdrawals, saline, in Mgal/d</t>
        </r>
      </text>
    </comment>
    <comment ref="BH35" authorId="0">
      <text>
        <r>
          <rPr>
            <b/>
            <sz val="9"/>
            <rFont val="Geneva"/>
            <family val="0"/>
          </rPr>
          <t>Thermoelectric once-through, surface-water withdrawals, fresh, in Mgal/d</t>
        </r>
      </text>
    </comment>
    <comment ref="BG35" authorId="0">
      <text>
        <r>
          <rPr>
            <b/>
            <sz val="9"/>
            <rFont val="Geneva"/>
            <family val="0"/>
          </rPr>
          <t>Thermoelectric, total 
withdrawals, total, in Mgal/d</t>
        </r>
      </text>
    </comment>
    <comment ref="BF35" authorId="0">
      <text>
        <r>
          <rPr>
            <b/>
            <sz val="9"/>
            <rFont val="Geneva"/>
            <family val="0"/>
          </rPr>
          <t>Thermoelectric, total 
withdrawals, saline, in Mgal/d</t>
        </r>
      </text>
    </comment>
    <comment ref="BE35" authorId="0">
      <text>
        <r>
          <rPr>
            <b/>
            <sz val="9"/>
            <rFont val="Geneva"/>
            <family val="0"/>
          </rPr>
          <t>Thermoelectric, total 
withdrawals, fresh, in Mgal/d</t>
        </r>
      </text>
    </comment>
    <comment ref="BD35" authorId="0">
      <text>
        <r>
          <rPr>
            <b/>
            <sz val="9"/>
            <rFont val="Geneva"/>
            <family val="0"/>
          </rPr>
          <t>Thermoelectric, surface-water withdrawals, total, in Mgal/d</t>
        </r>
      </text>
    </comment>
    <comment ref="BC35" authorId="0">
      <text>
        <r>
          <rPr>
            <b/>
            <sz val="9"/>
            <rFont val="Geneva"/>
            <family val="0"/>
          </rPr>
          <t>Thermoelectric, surface-water withdrawals, saline, in Mgal/d</t>
        </r>
      </text>
    </comment>
    <comment ref="BB35" authorId="0">
      <text>
        <r>
          <rPr>
            <b/>
            <sz val="9"/>
            <rFont val="Geneva"/>
            <family val="0"/>
          </rPr>
          <t>Thermoelectric, surface-water withdrawals, fresh, in Mgal/d</t>
        </r>
      </text>
    </comment>
    <comment ref="BA35" authorId="0">
      <text>
        <r>
          <rPr>
            <b/>
            <sz val="9"/>
            <rFont val="Geneva"/>
            <family val="0"/>
          </rPr>
          <t>Thermoelectric, ground-water withdrawals, fresh, in Mgal/d</t>
        </r>
      </text>
    </comment>
    <comment ref="AZ35" authorId="0">
      <text>
        <r>
          <rPr>
            <b/>
            <sz val="9"/>
            <rFont val="Geneva"/>
            <family val="0"/>
          </rPr>
          <t>Mining total withdrawals, total, in Mgal/d</t>
        </r>
      </text>
    </comment>
    <comment ref="AY35" authorId="0">
      <text>
        <r>
          <rPr>
            <b/>
            <sz val="9"/>
            <rFont val="Geneva"/>
            <family val="0"/>
          </rPr>
          <t>Mining total withdrawals, saline, in Mgal/d</t>
        </r>
      </text>
    </comment>
    <comment ref="AX35" authorId="0">
      <text>
        <r>
          <rPr>
            <b/>
            <sz val="9"/>
            <rFont val="Geneva"/>
            <family val="0"/>
          </rPr>
          <t>Mining total withdrawals, fresh, in Mgal/d</t>
        </r>
      </text>
    </comment>
    <comment ref="AW35" authorId="0">
      <text>
        <r>
          <rPr>
            <b/>
            <sz val="9"/>
            <rFont val="Geneva"/>
            <family val="0"/>
          </rPr>
          <t>Mining surface-water withdrawals, total, in Mgal/d</t>
        </r>
      </text>
    </comment>
    <comment ref="AV35" authorId="0">
      <text>
        <r>
          <rPr>
            <b/>
            <sz val="9"/>
            <rFont val="Geneva"/>
            <family val="0"/>
          </rPr>
          <t>Mining surface-water withdrawals, saline, in Mgal/d</t>
        </r>
      </text>
    </comment>
    <comment ref="AU35" authorId="0">
      <text>
        <r>
          <rPr>
            <b/>
            <sz val="9"/>
            <rFont val="Geneva"/>
            <family val="0"/>
          </rPr>
          <t>Mining surface-water withdrawals, fresh, in Mgal/d</t>
        </r>
      </text>
    </comment>
    <comment ref="AT35" authorId="0">
      <text>
        <r>
          <rPr>
            <b/>
            <sz val="9"/>
            <rFont val="Geneva"/>
            <family val="0"/>
          </rPr>
          <t>Mining ground-water withdrawals, total, in Mgal/d</t>
        </r>
      </text>
    </comment>
    <comment ref="AS35" authorId="0">
      <text>
        <r>
          <rPr>
            <b/>
            <sz val="9"/>
            <rFont val="Geneva"/>
            <family val="0"/>
          </rPr>
          <t>Mining ground-water withdrawals, saline, in Mgal/d</t>
        </r>
      </text>
    </comment>
    <comment ref="AR35" authorId="0">
      <text>
        <r>
          <rPr>
            <b/>
            <sz val="9"/>
            <rFont val="Geneva"/>
            <family val="0"/>
          </rPr>
          <t>Mining ground-water withdrawals, fresh, in Mgal/d</t>
        </r>
      </text>
    </comment>
    <comment ref="AQ35" authorId="0">
      <text>
        <r>
          <rPr>
            <b/>
            <sz val="9"/>
            <rFont val="Geneva"/>
            <family val="0"/>
          </rPr>
          <t>Livestock, total withdrawals, fresh, in Mgal/d</t>
        </r>
      </text>
    </comment>
    <comment ref="AP35" authorId="0">
      <text>
        <r>
          <rPr>
            <b/>
            <sz val="9"/>
            <rFont val="Geneva"/>
            <family val="0"/>
          </rPr>
          <t>Livestock, surface-water withdrawals, fresh, in Mgal/d</t>
        </r>
      </text>
    </comment>
    <comment ref="AO35" authorId="0">
      <text>
        <r>
          <rPr>
            <b/>
            <sz val="9"/>
            <rFont val="Geneva"/>
            <family val="0"/>
          </rPr>
          <t>Livestock, ground-water withdrawals, fresh, in Mgal/d</t>
        </r>
      </text>
    </comment>
    <comment ref="AN35" authorId="0">
      <text>
        <r>
          <rPr>
            <b/>
            <sz val="9"/>
            <rFont val="Geneva"/>
            <family val="0"/>
          </rPr>
          <t>Aquaculture, total withdrawals, fresh, in Mgal/d</t>
        </r>
      </text>
    </comment>
    <comment ref="AM35" authorId="0">
      <text>
        <r>
          <rPr>
            <b/>
            <sz val="9"/>
            <rFont val="Geneva"/>
            <family val="0"/>
          </rPr>
          <t>Aquaculture, surface-water withdrawals, fresh, in Mgal/d</t>
        </r>
      </text>
    </comment>
    <comment ref="AL35" authorId="0">
      <text>
        <r>
          <rPr>
            <b/>
            <sz val="9"/>
            <rFont val="Geneva"/>
            <family val="0"/>
          </rPr>
          <t>Aquaculture, ground-water withdrawals, fresh, in Mgal/d</t>
        </r>
      </text>
    </comment>
    <comment ref="AK35" authorId="0">
      <text>
        <r>
          <rPr>
            <b/>
            <sz val="9"/>
            <rFont val="Geneva"/>
            <family val="0"/>
          </rPr>
          <t>Irrigation, total withdrawals, fresh, in Mgal/d</t>
        </r>
      </text>
    </comment>
    <comment ref="AJ35" authorId="0">
      <text>
        <r>
          <rPr>
            <b/>
            <sz val="9"/>
            <rFont val="Geneva"/>
            <family val="0"/>
          </rPr>
          <t>Irrigation, surface-water withdrawals, fresh, in Mgal/d</t>
        </r>
      </text>
    </comment>
    <comment ref="AI35" authorId="0">
      <text>
        <r>
          <rPr>
            <b/>
            <sz val="9"/>
            <rFont val="Geneva"/>
            <family val="0"/>
          </rPr>
          <t>Irrigation, ground-water withdrawals, fresh, in Mgal/d</t>
        </r>
      </text>
    </comment>
    <comment ref="AH35" authorId="0">
      <text>
        <r>
          <rPr>
            <b/>
            <sz val="9"/>
            <rFont val="Geneva"/>
            <family val="0"/>
          </rPr>
          <t>Irrigation, acres irrigated, total, in thousands</t>
        </r>
      </text>
    </comment>
    <comment ref="AG35" authorId="0">
      <text>
        <r>
          <rPr>
            <b/>
            <sz val="9"/>
            <rFont val="Geneva"/>
            <family val="0"/>
          </rPr>
          <t>Irrigation, acres irrigated, surface (flood), in thousands</t>
        </r>
      </text>
    </comment>
    <comment ref="AF35" authorId="0">
      <text>
        <r>
          <rPr>
            <b/>
            <sz val="9"/>
            <rFont val="Geneva"/>
            <family val="0"/>
          </rPr>
          <t>Irrigation, acres irrigated, microirrigation, in thousands</t>
        </r>
      </text>
    </comment>
    <comment ref="AE35" authorId="0">
      <text>
        <r>
          <rPr>
            <b/>
            <sz val="9"/>
            <rFont val="Geneva"/>
            <family val="0"/>
          </rPr>
          <t>Irrigation, acres irrigated, sprinker, in thousands</t>
        </r>
      </text>
    </comment>
    <comment ref="AD35" authorId="0">
      <text>
        <r>
          <rPr>
            <b/>
            <sz val="9"/>
            <rFont val="Geneva"/>
            <family val="0"/>
          </rPr>
          <t>Industrial, total self-supplied withdrawals, total, in Mgal/d</t>
        </r>
      </text>
    </comment>
    <comment ref="AC35" authorId="0">
      <text>
        <r>
          <rPr>
            <b/>
            <sz val="9"/>
            <rFont val="Geneva"/>
            <family val="0"/>
          </rPr>
          <t>Industrial, total self-supplied withdrawals, saline, in Mgal/d</t>
        </r>
      </text>
    </comment>
    <comment ref="AB35" authorId="0">
      <text>
        <r>
          <rPr>
            <b/>
            <sz val="9"/>
            <rFont val="Geneva"/>
            <family val="0"/>
          </rPr>
          <t>Industrial, total self-supplied withdrawals, fresh, in Mgal/d</t>
        </r>
      </text>
    </comment>
    <comment ref="AA35" authorId="0">
      <text>
        <r>
          <rPr>
            <b/>
            <sz val="9"/>
            <rFont val="Geneva"/>
            <family val="0"/>
          </rPr>
          <t>Industrial, surface-water self-supplied withdrawals, total, in Mgal/d</t>
        </r>
      </text>
    </comment>
    <comment ref="Z35" authorId="0">
      <text>
        <r>
          <rPr>
            <b/>
            <sz val="9"/>
            <rFont val="Geneva"/>
            <family val="0"/>
          </rPr>
          <t>Industrial, surface-water self-supplied withdrawals, saline, in Mgal/d</t>
        </r>
      </text>
    </comment>
    <comment ref="Y35" authorId="0">
      <text>
        <r>
          <rPr>
            <b/>
            <sz val="9"/>
            <rFont val="Geneva"/>
            <family val="0"/>
          </rPr>
          <t>Industrial, surface-water self-supplied withdrawals, fresh, in Mgal/d</t>
        </r>
      </text>
    </comment>
    <comment ref="X35" authorId="0">
      <text>
        <r>
          <rPr>
            <b/>
            <sz val="9"/>
            <rFont val="Geneva"/>
            <family val="0"/>
          </rPr>
          <t>Industrial, ground-water self-supplied withdrawals, total, in Mgal/d</t>
        </r>
      </text>
    </comment>
    <comment ref="W35" authorId="0">
      <text>
        <r>
          <rPr>
            <b/>
            <sz val="9"/>
            <rFont val="Geneva"/>
            <family val="0"/>
          </rPr>
          <t>Industrial, ground-water self-supplied withdrawals, saline, in Mgal/d</t>
        </r>
      </text>
    </comment>
    <comment ref="V35" authorId="0">
      <text>
        <r>
          <rPr>
            <b/>
            <sz val="9"/>
            <rFont val="Geneva"/>
            <family val="0"/>
          </rPr>
          <t>Industrial, ground-water self-supplied withdrawals, fresh, in Mgal/d</t>
        </r>
      </text>
    </comment>
    <comment ref="U35" authorId="0">
      <text>
        <r>
          <rPr>
            <b/>
            <sz val="9"/>
            <rFont val="Geneva"/>
            <family val="0"/>
          </rPr>
          <t>Domestic, total self-supplied withdrawals, fresh, in Mgal/d</t>
        </r>
      </text>
    </comment>
    <comment ref="T35" authorId="0">
      <text>
        <r>
          <rPr>
            <b/>
            <sz val="9"/>
            <rFont val="Geneva"/>
            <family val="0"/>
          </rPr>
          <t>Domestic, surface-water self-supplied withdrawals, fresh, in Mgal/d</t>
        </r>
      </text>
    </comment>
    <comment ref="S35" authorId="0">
      <text>
        <r>
          <rPr>
            <b/>
            <sz val="9"/>
            <rFont val="Geneva"/>
            <family val="0"/>
          </rPr>
          <t>Domestic, ground-water self-supplied withdrawals, fresh, in Mgal/d</t>
        </r>
      </text>
    </comment>
    <comment ref="R35" authorId="0">
      <text>
        <r>
          <rPr>
            <b/>
            <sz val="9"/>
            <rFont val="Geneva"/>
            <family val="0"/>
          </rPr>
          <t>Domestic, self-supplied population, in thousands</t>
        </r>
      </text>
    </comment>
    <comment ref="Q35" authorId="0">
      <text>
        <r>
          <rPr>
            <b/>
            <sz val="9"/>
            <rFont val="Geneva"/>
            <family val="0"/>
          </rPr>
          <t>Public supply, total withdrawals, fresh, in Mgal/d</t>
        </r>
      </text>
    </comment>
    <comment ref="P35" authorId="0">
      <text>
        <r>
          <rPr>
            <b/>
            <sz val="9"/>
            <rFont val="Geneva"/>
            <family val="0"/>
          </rPr>
          <t>Public supply, surface-water withdrawals, fresh, in Mgal/d</t>
        </r>
      </text>
    </comment>
    <comment ref="O35" authorId="0">
      <text>
        <r>
          <rPr>
            <sz val="9"/>
            <rFont val="Geneva"/>
            <family val="0"/>
          </rPr>
          <t>Public supply, ground-water withdrawals, fresh, in Mgal/d</t>
        </r>
      </text>
    </comment>
    <comment ref="N35" authorId="0">
      <text>
        <r>
          <rPr>
            <b/>
            <sz val="9"/>
            <rFont val="Geneva"/>
            <family val="0"/>
          </rPr>
          <t>Public supply, total population served, in thousands</t>
        </r>
      </text>
    </comment>
    <comment ref="M35" authorId="0">
      <text>
        <r>
          <rPr>
            <b/>
            <sz val="9"/>
            <rFont val="Geneva"/>
            <family val="0"/>
          </rPr>
          <t>Total population of county, in thousands</t>
        </r>
      </text>
    </comment>
  </commentList>
</comments>
</file>

<file path=xl/comments8.xml><?xml version="1.0" encoding="utf-8"?>
<comments xmlns="http://schemas.openxmlformats.org/spreadsheetml/2006/main">
  <authors>
    <author>Robert S Eckard</author>
  </authors>
  <commentList>
    <comment ref="AI5" authorId="0">
      <text>
        <r>
          <rPr>
            <b/>
            <sz val="10"/>
            <rFont val="Tahoma"/>
            <family val="2"/>
          </rPr>
          <t>Robert S Eckard:</t>
        </r>
        <r>
          <rPr>
            <sz val="10"/>
            <rFont val="Tahoma"/>
            <family val="2"/>
          </rPr>
          <t xml:space="preserve">
Assumes 30.4 days per month</t>
        </r>
      </text>
    </comment>
    <comment ref="AR5" authorId="0">
      <text>
        <r>
          <rPr>
            <b/>
            <sz val="10"/>
            <rFont val="Tahoma"/>
            <family val="2"/>
          </rPr>
          <t>Robert S Eckard:</t>
        </r>
        <r>
          <rPr>
            <sz val="10"/>
            <rFont val="Tahoma"/>
            <family val="2"/>
          </rPr>
          <t xml:space="preserve">
Assumes 30.4 days per month</t>
        </r>
      </text>
    </comment>
    <comment ref="BA5" authorId="0">
      <text>
        <r>
          <rPr>
            <b/>
            <sz val="10"/>
            <rFont val="Tahoma"/>
            <family val="2"/>
          </rPr>
          <t>Robert S Eckard:</t>
        </r>
        <r>
          <rPr>
            <sz val="10"/>
            <rFont val="Tahoma"/>
            <family val="2"/>
          </rPr>
          <t xml:space="preserve">
Assumes 30.4 days per month</t>
        </r>
      </text>
    </comment>
    <comment ref="BJ5" authorId="0">
      <text>
        <r>
          <rPr>
            <b/>
            <sz val="10"/>
            <rFont val="Tahoma"/>
            <family val="2"/>
          </rPr>
          <t>Robert S Eckard:</t>
        </r>
        <r>
          <rPr>
            <sz val="10"/>
            <rFont val="Tahoma"/>
            <family val="2"/>
          </rPr>
          <t xml:space="preserve">
Assumes 30.4 days per month</t>
        </r>
      </text>
    </comment>
    <comment ref="CB5" authorId="0">
      <text>
        <r>
          <rPr>
            <b/>
            <sz val="10"/>
            <rFont val="Tahoma"/>
            <family val="2"/>
          </rPr>
          <t>Robert S Eckard:</t>
        </r>
        <r>
          <rPr>
            <sz val="10"/>
            <rFont val="Tahoma"/>
            <family val="2"/>
          </rPr>
          <t xml:space="preserve">
Assumes 30.4 days per month</t>
        </r>
      </text>
    </comment>
    <comment ref="CK5" authorId="0">
      <text>
        <r>
          <rPr>
            <b/>
            <sz val="10"/>
            <rFont val="Tahoma"/>
            <family val="2"/>
          </rPr>
          <t>Robert S Eckard:</t>
        </r>
        <r>
          <rPr>
            <sz val="10"/>
            <rFont val="Tahoma"/>
            <family val="2"/>
          </rPr>
          <t xml:space="preserve">
Assumes 30.4 days per month</t>
        </r>
      </text>
    </comment>
    <comment ref="CT7" authorId="0">
      <text>
        <r>
          <rPr>
            <b/>
            <sz val="10"/>
            <rFont val="Tahoma"/>
            <family val="2"/>
          </rPr>
          <t>Robert S Eckard:</t>
        </r>
        <r>
          <rPr>
            <sz val="10"/>
            <rFont val="Tahoma"/>
            <family val="2"/>
          </rPr>
          <t xml:space="preserve">
Assumes 30.4 days per month</t>
        </r>
      </text>
    </comment>
    <comment ref="AI6" authorId="0">
      <text>
        <r>
          <rPr>
            <b/>
            <sz val="10"/>
            <rFont val="Tahoma"/>
            <family val="2"/>
          </rPr>
          <t>Robert S Eckard:</t>
        </r>
        <r>
          <rPr>
            <sz val="10"/>
            <rFont val="Tahoma"/>
            <family val="2"/>
          </rPr>
          <t xml:space="preserve">
Assumes 30.4 days per month</t>
        </r>
      </text>
    </comment>
    <comment ref="AI7" authorId="0">
      <text>
        <r>
          <rPr>
            <b/>
            <sz val="10"/>
            <rFont val="Tahoma"/>
            <family val="2"/>
          </rPr>
          <t>Robert S Eckard:</t>
        </r>
        <r>
          <rPr>
            <sz val="10"/>
            <rFont val="Tahoma"/>
            <family val="2"/>
          </rPr>
          <t xml:space="preserve">
Assumes 30.4 days per month</t>
        </r>
      </text>
    </comment>
    <comment ref="AI8" authorId="0">
      <text>
        <r>
          <rPr>
            <b/>
            <sz val="10"/>
            <rFont val="Tahoma"/>
            <family val="2"/>
          </rPr>
          <t>Robert S Eckard:</t>
        </r>
        <r>
          <rPr>
            <sz val="10"/>
            <rFont val="Tahoma"/>
            <family val="2"/>
          </rPr>
          <t xml:space="preserve">
Assumes 30.4 days per month</t>
        </r>
      </text>
    </comment>
    <comment ref="AI9" authorId="0">
      <text>
        <r>
          <rPr>
            <b/>
            <sz val="10"/>
            <rFont val="Tahoma"/>
            <family val="2"/>
          </rPr>
          <t>Robert S Eckard:</t>
        </r>
        <r>
          <rPr>
            <sz val="10"/>
            <rFont val="Tahoma"/>
            <family val="2"/>
          </rPr>
          <t xml:space="preserve">
Assumes 30.4 days per month</t>
        </r>
      </text>
    </comment>
    <comment ref="AI10" authorId="0">
      <text>
        <r>
          <rPr>
            <b/>
            <sz val="10"/>
            <rFont val="Tahoma"/>
            <family val="2"/>
          </rPr>
          <t>Robert S Eckard:</t>
        </r>
        <r>
          <rPr>
            <sz val="10"/>
            <rFont val="Tahoma"/>
            <family val="2"/>
          </rPr>
          <t xml:space="preserve">
Assumes 30.4 days per month</t>
        </r>
      </text>
    </comment>
    <comment ref="AI11" authorId="0">
      <text>
        <r>
          <rPr>
            <b/>
            <sz val="10"/>
            <rFont val="Tahoma"/>
            <family val="2"/>
          </rPr>
          <t>Robert S Eckard:</t>
        </r>
        <r>
          <rPr>
            <sz val="10"/>
            <rFont val="Tahoma"/>
            <family val="2"/>
          </rPr>
          <t xml:space="preserve">
Assumes 30.4 days per month</t>
        </r>
      </text>
    </comment>
    <comment ref="AI12" authorId="0">
      <text>
        <r>
          <rPr>
            <b/>
            <sz val="10"/>
            <rFont val="Tahoma"/>
            <family val="2"/>
          </rPr>
          <t>Robert S Eckard:</t>
        </r>
        <r>
          <rPr>
            <sz val="10"/>
            <rFont val="Tahoma"/>
            <family val="2"/>
          </rPr>
          <t xml:space="preserve">
Assumes 30.4 days per month</t>
        </r>
      </text>
    </comment>
    <comment ref="AI13" authorId="0">
      <text>
        <r>
          <rPr>
            <b/>
            <sz val="10"/>
            <rFont val="Tahoma"/>
            <family val="2"/>
          </rPr>
          <t>Robert S Eckard:</t>
        </r>
        <r>
          <rPr>
            <sz val="10"/>
            <rFont val="Tahoma"/>
            <family val="2"/>
          </rPr>
          <t xml:space="preserve">
Assumes 30.4 days per month</t>
        </r>
      </text>
    </comment>
    <comment ref="AI14" authorId="0">
      <text>
        <r>
          <rPr>
            <b/>
            <sz val="10"/>
            <rFont val="Tahoma"/>
            <family val="2"/>
          </rPr>
          <t>Robert S Eckard:</t>
        </r>
        <r>
          <rPr>
            <sz val="10"/>
            <rFont val="Tahoma"/>
            <family val="2"/>
          </rPr>
          <t xml:space="preserve">
Assumes 30.4 days per month</t>
        </r>
      </text>
    </comment>
    <comment ref="AI15" authorId="0">
      <text>
        <r>
          <rPr>
            <b/>
            <sz val="10"/>
            <rFont val="Tahoma"/>
            <family val="2"/>
          </rPr>
          <t>Robert S Eckard:</t>
        </r>
        <r>
          <rPr>
            <sz val="10"/>
            <rFont val="Tahoma"/>
            <family val="2"/>
          </rPr>
          <t xml:space="preserve">
Assumes 30.4 days per month</t>
        </r>
      </text>
    </comment>
    <comment ref="AI16" authorId="0">
      <text>
        <r>
          <rPr>
            <b/>
            <sz val="10"/>
            <rFont val="Tahoma"/>
            <family val="2"/>
          </rPr>
          <t>Robert S Eckard:</t>
        </r>
        <r>
          <rPr>
            <sz val="10"/>
            <rFont val="Tahoma"/>
            <family val="2"/>
          </rPr>
          <t xml:space="preserve">
Assumes 30.4 days per month</t>
        </r>
      </text>
    </comment>
    <comment ref="AI17" authorId="0">
      <text>
        <r>
          <rPr>
            <b/>
            <sz val="10"/>
            <rFont val="Tahoma"/>
            <family val="2"/>
          </rPr>
          <t>Robert S Eckard:</t>
        </r>
        <r>
          <rPr>
            <sz val="10"/>
            <rFont val="Tahoma"/>
            <family val="2"/>
          </rPr>
          <t xml:space="preserve">
Assumes 30.4 days per month</t>
        </r>
      </text>
    </comment>
    <comment ref="AI18" authorId="0">
      <text>
        <r>
          <rPr>
            <b/>
            <sz val="10"/>
            <rFont val="Tahoma"/>
            <family val="2"/>
          </rPr>
          <t>Robert S Eckard:</t>
        </r>
        <r>
          <rPr>
            <sz val="10"/>
            <rFont val="Tahoma"/>
            <family val="2"/>
          </rPr>
          <t xml:space="preserve">
Assumes 30.4 days per month</t>
        </r>
      </text>
    </comment>
    <comment ref="AI19" authorId="0">
      <text>
        <r>
          <rPr>
            <b/>
            <sz val="10"/>
            <rFont val="Tahoma"/>
            <family val="2"/>
          </rPr>
          <t>Robert S Eckard:</t>
        </r>
        <r>
          <rPr>
            <sz val="10"/>
            <rFont val="Tahoma"/>
            <family val="2"/>
          </rPr>
          <t xml:space="preserve">
Assumes 30.4 days per month</t>
        </r>
      </text>
    </comment>
    <comment ref="AI20" authorId="0">
      <text>
        <r>
          <rPr>
            <b/>
            <sz val="10"/>
            <rFont val="Tahoma"/>
            <family val="2"/>
          </rPr>
          <t>Robert S Eckard:</t>
        </r>
        <r>
          <rPr>
            <sz val="10"/>
            <rFont val="Tahoma"/>
            <family val="2"/>
          </rPr>
          <t xml:space="preserve">
Assumes 30.4 days per month</t>
        </r>
      </text>
    </comment>
    <comment ref="AI21" authorId="0">
      <text>
        <r>
          <rPr>
            <b/>
            <sz val="10"/>
            <rFont val="Tahoma"/>
            <family val="2"/>
          </rPr>
          <t>Robert S Eckard:</t>
        </r>
        <r>
          <rPr>
            <sz val="10"/>
            <rFont val="Tahoma"/>
            <family val="2"/>
          </rPr>
          <t xml:space="preserve">
Assumes 30.4 days per month</t>
        </r>
      </text>
    </comment>
    <comment ref="AI22" authorId="0">
      <text>
        <r>
          <rPr>
            <b/>
            <sz val="10"/>
            <rFont val="Tahoma"/>
            <family val="2"/>
          </rPr>
          <t>Robert S Eckard:</t>
        </r>
        <r>
          <rPr>
            <sz val="10"/>
            <rFont val="Tahoma"/>
            <family val="2"/>
          </rPr>
          <t xml:space="preserve">
Assumes 30.4 days per month</t>
        </r>
      </text>
    </comment>
    <comment ref="AI23" authorId="0">
      <text>
        <r>
          <rPr>
            <b/>
            <sz val="10"/>
            <rFont val="Tahoma"/>
            <family val="2"/>
          </rPr>
          <t>Robert S Eckard:</t>
        </r>
        <r>
          <rPr>
            <sz val="10"/>
            <rFont val="Tahoma"/>
            <family val="2"/>
          </rPr>
          <t xml:space="preserve">
Assumes 30.4 days per month</t>
        </r>
      </text>
    </comment>
    <comment ref="AI24" authorId="0">
      <text>
        <r>
          <rPr>
            <b/>
            <sz val="10"/>
            <rFont val="Tahoma"/>
            <family val="2"/>
          </rPr>
          <t>Robert S Eckard:</t>
        </r>
        <r>
          <rPr>
            <sz val="10"/>
            <rFont val="Tahoma"/>
            <family val="2"/>
          </rPr>
          <t xml:space="preserve">
Assumes 30.4 days per month</t>
        </r>
      </text>
    </comment>
    <comment ref="AI25" authorId="0">
      <text>
        <r>
          <rPr>
            <b/>
            <sz val="10"/>
            <rFont val="Tahoma"/>
            <family val="2"/>
          </rPr>
          <t>Robert S Eckard:</t>
        </r>
        <r>
          <rPr>
            <sz val="10"/>
            <rFont val="Tahoma"/>
            <family val="2"/>
          </rPr>
          <t xml:space="preserve">
Assumes 30.4 days per month</t>
        </r>
      </text>
    </comment>
    <comment ref="AI26" authorId="0">
      <text>
        <r>
          <rPr>
            <b/>
            <sz val="10"/>
            <rFont val="Tahoma"/>
            <family val="2"/>
          </rPr>
          <t>Robert S Eckard:</t>
        </r>
        <r>
          <rPr>
            <sz val="10"/>
            <rFont val="Tahoma"/>
            <family val="2"/>
          </rPr>
          <t xml:space="preserve">
Assumes 30.4 days per month</t>
        </r>
      </text>
    </comment>
    <comment ref="AI27" authorId="0">
      <text>
        <r>
          <rPr>
            <b/>
            <sz val="10"/>
            <rFont val="Tahoma"/>
            <family val="2"/>
          </rPr>
          <t>Robert S Eckard:</t>
        </r>
        <r>
          <rPr>
            <sz val="10"/>
            <rFont val="Tahoma"/>
            <family val="2"/>
          </rPr>
          <t xml:space="preserve">
Assumes 30.4 days per month</t>
        </r>
      </text>
    </comment>
    <comment ref="AI28" authorId="0">
      <text>
        <r>
          <rPr>
            <b/>
            <sz val="10"/>
            <rFont val="Tahoma"/>
            <family val="2"/>
          </rPr>
          <t>Robert S Eckard:</t>
        </r>
        <r>
          <rPr>
            <sz val="10"/>
            <rFont val="Tahoma"/>
            <family val="2"/>
          </rPr>
          <t xml:space="preserve">
Assumes 30.4 days per month</t>
        </r>
      </text>
    </comment>
    <comment ref="AI29" authorId="0">
      <text>
        <r>
          <rPr>
            <b/>
            <sz val="10"/>
            <rFont val="Tahoma"/>
            <family val="2"/>
          </rPr>
          <t>Robert S Eckard:</t>
        </r>
        <r>
          <rPr>
            <sz val="10"/>
            <rFont val="Tahoma"/>
            <family val="2"/>
          </rPr>
          <t xml:space="preserve">
Assumes 30.4 days per month</t>
        </r>
      </text>
    </comment>
    <comment ref="AI30" authorId="0">
      <text>
        <r>
          <rPr>
            <b/>
            <sz val="10"/>
            <rFont val="Tahoma"/>
            <family val="2"/>
          </rPr>
          <t>Robert S Eckard:</t>
        </r>
        <r>
          <rPr>
            <sz val="10"/>
            <rFont val="Tahoma"/>
            <family val="2"/>
          </rPr>
          <t xml:space="preserve">
Assumes 30.4 days per month</t>
        </r>
      </text>
    </comment>
    <comment ref="AI31" authorId="0">
      <text>
        <r>
          <rPr>
            <b/>
            <sz val="10"/>
            <rFont val="Tahoma"/>
            <family val="2"/>
          </rPr>
          <t>Robert S Eckard:</t>
        </r>
        <r>
          <rPr>
            <sz val="10"/>
            <rFont val="Tahoma"/>
            <family val="2"/>
          </rPr>
          <t xml:space="preserve">
Assumes 30.4 days per month</t>
        </r>
      </text>
    </comment>
    <comment ref="AI32" authorId="0">
      <text>
        <r>
          <rPr>
            <b/>
            <sz val="10"/>
            <rFont val="Tahoma"/>
            <family val="2"/>
          </rPr>
          <t>Robert S Eckard:</t>
        </r>
        <r>
          <rPr>
            <sz val="10"/>
            <rFont val="Tahoma"/>
            <family val="2"/>
          </rPr>
          <t xml:space="preserve">
Assumes 30.4 days per month</t>
        </r>
      </text>
    </comment>
    <comment ref="AI33" authorId="0">
      <text>
        <r>
          <rPr>
            <b/>
            <sz val="10"/>
            <rFont val="Tahoma"/>
            <family val="2"/>
          </rPr>
          <t>Robert S Eckard:</t>
        </r>
        <r>
          <rPr>
            <sz val="10"/>
            <rFont val="Tahoma"/>
            <family val="2"/>
          </rPr>
          <t xml:space="preserve">
Assumes 30.4 days per month</t>
        </r>
      </text>
    </comment>
    <comment ref="AI34" authorId="0">
      <text>
        <r>
          <rPr>
            <b/>
            <sz val="10"/>
            <rFont val="Tahoma"/>
            <family val="2"/>
          </rPr>
          <t>Robert S Eckard:</t>
        </r>
        <r>
          <rPr>
            <sz val="10"/>
            <rFont val="Tahoma"/>
            <family val="2"/>
          </rPr>
          <t xml:space="preserve">
Assumes 30.4 days per month</t>
        </r>
      </text>
    </comment>
    <comment ref="AI35" authorId="0">
      <text>
        <r>
          <rPr>
            <b/>
            <sz val="10"/>
            <rFont val="Tahoma"/>
            <family val="2"/>
          </rPr>
          <t>Robert S Eckard:</t>
        </r>
        <r>
          <rPr>
            <sz val="10"/>
            <rFont val="Tahoma"/>
            <family val="2"/>
          </rPr>
          <t xml:space="preserve">
Assumes 30.4 days per month</t>
        </r>
      </text>
    </comment>
    <comment ref="AI36" authorId="0">
      <text>
        <r>
          <rPr>
            <b/>
            <sz val="10"/>
            <rFont val="Tahoma"/>
            <family val="2"/>
          </rPr>
          <t>Robert S Eckard:</t>
        </r>
        <r>
          <rPr>
            <sz val="10"/>
            <rFont val="Tahoma"/>
            <family val="2"/>
          </rPr>
          <t xml:space="preserve">
Assumes 30.4 days per month</t>
        </r>
      </text>
    </comment>
    <comment ref="AI37" authorId="0">
      <text>
        <r>
          <rPr>
            <b/>
            <sz val="10"/>
            <rFont val="Tahoma"/>
            <family val="2"/>
          </rPr>
          <t>Robert S Eckard:</t>
        </r>
        <r>
          <rPr>
            <sz val="10"/>
            <rFont val="Tahoma"/>
            <family val="2"/>
          </rPr>
          <t xml:space="preserve">
Assumes 30.4 days per month</t>
        </r>
      </text>
    </comment>
    <comment ref="AI38" authorId="0">
      <text>
        <r>
          <rPr>
            <b/>
            <sz val="10"/>
            <rFont val="Tahoma"/>
            <family val="2"/>
          </rPr>
          <t>Robert S Eckard:</t>
        </r>
        <r>
          <rPr>
            <sz val="10"/>
            <rFont val="Tahoma"/>
            <family val="2"/>
          </rPr>
          <t xml:space="preserve">
Assumes 30.4 days per month</t>
        </r>
      </text>
    </comment>
    <comment ref="AI39" authorId="0">
      <text>
        <r>
          <rPr>
            <b/>
            <sz val="10"/>
            <rFont val="Tahoma"/>
            <family val="2"/>
          </rPr>
          <t>Robert S Eckard:</t>
        </r>
        <r>
          <rPr>
            <sz val="10"/>
            <rFont val="Tahoma"/>
            <family val="2"/>
          </rPr>
          <t xml:space="preserve">
Assumes 30.4 days per month</t>
        </r>
      </text>
    </comment>
    <comment ref="AI40" authorId="0">
      <text>
        <r>
          <rPr>
            <b/>
            <sz val="10"/>
            <rFont val="Tahoma"/>
            <family val="2"/>
          </rPr>
          <t>Robert S Eckard:</t>
        </r>
        <r>
          <rPr>
            <sz val="10"/>
            <rFont val="Tahoma"/>
            <family val="2"/>
          </rPr>
          <t xml:space="preserve">
Assumes 30.4 days per month</t>
        </r>
      </text>
    </comment>
    <comment ref="AI41" authorId="0">
      <text>
        <r>
          <rPr>
            <b/>
            <sz val="10"/>
            <rFont val="Tahoma"/>
            <family val="2"/>
          </rPr>
          <t>Robert S Eckard:</t>
        </r>
        <r>
          <rPr>
            <sz val="10"/>
            <rFont val="Tahoma"/>
            <family val="2"/>
          </rPr>
          <t xml:space="preserve">
Assumes 30.4 days per month</t>
        </r>
      </text>
    </comment>
    <comment ref="AI42" authorId="0">
      <text>
        <r>
          <rPr>
            <b/>
            <sz val="10"/>
            <rFont val="Tahoma"/>
            <family val="2"/>
          </rPr>
          <t>Robert S Eckard:</t>
        </r>
        <r>
          <rPr>
            <sz val="10"/>
            <rFont val="Tahoma"/>
            <family val="2"/>
          </rPr>
          <t xml:space="preserve">
Assumes 30.4 days per month</t>
        </r>
      </text>
    </comment>
    <comment ref="AI43" authorId="0">
      <text>
        <r>
          <rPr>
            <b/>
            <sz val="10"/>
            <rFont val="Tahoma"/>
            <family val="2"/>
          </rPr>
          <t>Robert S Eckard:</t>
        </r>
        <r>
          <rPr>
            <sz val="10"/>
            <rFont val="Tahoma"/>
            <family val="2"/>
          </rPr>
          <t xml:space="preserve">
Assumes 30.4 days per month</t>
        </r>
      </text>
    </comment>
    <comment ref="AI44" authorId="0">
      <text>
        <r>
          <rPr>
            <b/>
            <sz val="10"/>
            <rFont val="Tahoma"/>
            <family val="2"/>
          </rPr>
          <t>Robert S Eckard:</t>
        </r>
        <r>
          <rPr>
            <sz val="10"/>
            <rFont val="Tahoma"/>
            <family val="2"/>
          </rPr>
          <t xml:space="preserve">
Assumes 30.4 days per month</t>
        </r>
      </text>
    </comment>
    <comment ref="AI45" authorId="0">
      <text>
        <r>
          <rPr>
            <b/>
            <sz val="10"/>
            <rFont val="Tahoma"/>
            <family val="2"/>
          </rPr>
          <t>Robert S Eckard:</t>
        </r>
        <r>
          <rPr>
            <sz val="10"/>
            <rFont val="Tahoma"/>
            <family val="2"/>
          </rPr>
          <t xml:space="preserve">
Assumes 30.4 days per month</t>
        </r>
      </text>
    </comment>
    <comment ref="AR6" authorId="0">
      <text>
        <r>
          <rPr>
            <b/>
            <sz val="10"/>
            <rFont val="Tahoma"/>
            <family val="2"/>
          </rPr>
          <t>Robert S Eckard:</t>
        </r>
        <r>
          <rPr>
            <sz val="10"/>
            <rFont val="Tahoma"/>
            <family val="2"/>
          </rPr>
          <t xml:space="preserve">
Assumes 30.4 days per month</t>
        </r>
      </text>
    </comment>
    <comment ref="AR7" authorId="0">
      <text>
        <r>
          <rPr>
            <b/>
            <sz val="10"/>
            <rFont val="Tahoma"/>
            <family val="2"/>
          </rPr>
          <t>Robert S Eckard:</t>
        </r>
        <r>
          <rPr>
            <sz val="10"/>
            <rFont val="Tahoma"/>
            <family val="2"/>
          </rPr>
          <t xml:space="preserve">
Assumes 30.4 days per month</t>
        </r>
      </text>
    </comment>
    <comment ref="AR8" authorId="0">
      <text>
        <r>
          <rPr>
            <b/>
            <sz val="10"/>
            <rFont val="Tahoma"/>
            <family val="2"/>
          </rPr>
          <t>Robert S Eckard:</t>
        </r>
        <r>
          <rPr>
            <sz val="10"/>
            <rFont val="Tahoma"/>
            <family val="2"/>
          </rPr>
          <t xml:space="preserve">
Assumes 30.4 days per month</t>
        </r>
      </text>
    </comment>
    <comment ref="AR9" authorId="0">
      <text>
        <r>
          <rPr>
            <b/>
            <sz val="10"/>
            <rFont val="Tahoma"/>
            <family val="2"/>
          </rPr>
          <t>Robert S Eckard:</t>
        </r>
        <r>
          <rPr>
            <sz val="10"/>
            <rFont val="Tahoma"/>
            <family val="2"/>
          </rPr>
          <t xml:space="preserve">
Assumes 30.4 days per month</t>
        </r>
      </text>
    </comment>
    <comment ref="AR10" authorId="0">
      <text>
        <r>
          <rPr>
            <b/>
            <sz val="10"/>
            <rFont val="Tahoma"/>
            <family val="2"/>
          </rPr>
          <t>Robert S Eckard:</t>
        </r>
        <r>
          <rPr>
            <sz val="10"/>
            <rFont val="Tahoma"/>
            <family val="2"/>
          </rPr>
          <t xml:space="preserve">
Assumes 30.4 days per month</t>
        </r>
      </text>
    </comment>
    <comment ref="BA6" authorId="0">
      <text>
        <r>
          <rPr>
            <b/>
            <sz val="10"/>
            <rFont val="Tahoma"/>
            <family val="2"/>
          </rPr>
          <t>Robert S Eckard:</t>
        </r>
        <r>
          <rPr>
            <sz val="10"/>
            <rFont val="Tahoma"/>
            <family val="2"/>
          </rPr>
          <t xml:space="preserve">
Assumes 30.4 days per month</t>
        </r>
      </text>
    </comment>
    <comment ref="BA7" authorId="0">
      <text>
        <r>
          <rPr>
            <b/>
            <sz val="10"/>
            <rFont val="Tahoma"/>
            <family val="2"/>
          </rPr>
          <t>Robert S Eckard:</t>
        </r>
        <r>
          <rPr>
            <sz val="10"/>
            <rFont val="Tahoma"/>
            <family val="2"/>
          </rPr>
          <t xml:space="preserve">
Assumes 30.4 days per month</t>
        </r>
      </text>
    </comment>
    <comment ref="BA8" authorId="0">
      <text>
        <r>
          <rPr>
            <b/>
            <sz val="10"/>
            <rFont val="Tahoma"/>
            <family val="2"/>
          </rPr>
          <t>Robert S Eckard:</t>
        </r>
        <r>
          <rPr>
            <sz val="10"/>
            <rFont val="Tahoma"/>
            <family val="2"/>
          </rPr>
          <t xml:space="preserve">
Assumes 30.4 days per month</t>
        </r>
      </text>
    </comment>
    <comment ref="BA9" authorId="0">
      <text>
        <r>
          <rPr>
            <b/>
            <sz val="10"/>
            <rFont val="Tahoma"/>
            <family val="2"/>
          </rPr>
          <t>Robert S Eckard:</t>
        </r>
        <r>
          <rPr>
            <sz val="10"/>
            <rFont val="Tahoma"/>
            <family val="2"/>
          </rPr>
          <t xml:space="preserve">
Assumes 30.4 days per month</t>
        </r>
      </text>
    </comment>
    <comment ref="BA10" authorId="0">
      <text>
        <r>
          <rPr>
            <b/>
            <sz val="10"/>
            <rFont val="Tahoma"/>
            <family val="2"/>
          </rPr>
          <t>Robert S Eckard:</t>
        </r>
        <r>
          <rPr>
            <sz val="10"/>
            <rFont val="Tahoma"/>
            <family val="2"/>
          </rPr>
          <t xml:space="preserve">
Assumes 30.4 days per month</t>
        </r>
      </text>
    </comment>
    <comment ref="BA11" authorId="0">
      <text>
        <r>
          <rPr>
            <b/>
            <sz val="10"/>
            <rFont val="Tahoma"/>
            <family val="2"/>
          </rPr>
          <t>Robert S Eckard:</t>
        </r>
        <r>
          <rPr>
            <sz val="10"/>
            <rFont val="Tahoma"/>
            <family val="2"/>
          </rPr>
          <t xml:space="preserve">
Assumes 30.4 days per month</t>
        </r>
      </text>
    </comment>
    <comment ref="BA12" authorId="0">
      <text>
        <r>
          <rPr>
            <b/>
            <sz val="10"/>
            <rFont val="Tahoma"/>
            <family val="2"/>
          </rPr>
          <t>Robert S Eckard:</t>
        </r>
        <r>
          <rPr>
            <sz val="10"/>
            <rFont val="Tahoma"/>
            <family val="2"/>
          </rPr>
          <t xml:space="preserve">
Assumes 30.4 days per month</t>
        </r>
      </text>
    </comment>
    <comment ref="BA13" authorId="0">
      <text>
        <r>
          <rPr>
            <b/>
            <sz val="10"/>
            <rFont val="Tahoma"/>
            <family val="2"/>
          </rPr>
          <t>Robert S Eckard:</t>
        </r>
        <r>
          <rPr>
            <sz val="10"/>
            <rFont val="Tahoma"/>
            <family val="2"/>
          </rPr>
          <t xml:space="preserve">
Assumes 30.4 days per month</t>
        </r>
      </text>
    </comment>
    <comment ref="BA14" authorId="0">
      <text>
        <r>
          <rPr>
            <b/>
            <sz val="10"/>
            <rFont val="Tahoma"/>
            <family val="2"/>
          </rPr>
          <t>Robert S Eckard:</t>
        </r>
        <r>
          <rPr>
            <sz val="10"/>
            <rFont val="Tahoma"/>
            <family val="2"/>
          </rPr>
          <t xml:space="preserve">
Assumes 30.4 days per month</t>
        </r>
      </text>
    </comment>
    <comment ref="BA15" authorId="0">
      <text>
        <r>
          <rPr>
            <b/>
            <sz val="10"/>
            <rFont val="Tahoma"/>
            <family val="2"/>
          </rPr>
          <t>Robert S Eckard:</t>
        </r>
        <r>
          <rPr>
            <sz val="10"/>
            <rFont val="Tahoma"/>
            <family val="2"/>
          </rPr>
          <t xml:space="preserve">
Assumes 30.4 days per month</t>
        </r>
      </text>
    </comment>
    <comment ref="BA16" authorId="0">
      <text>
        <r>
          <rPr>
            <b/>
            <sz val="10"/>
            <rFont val="Tahoma"/>
            <family val="2"/>
          </rPr>
          <t>Robert S Eckard:</t>
        </r>
        <r>
          <rPr>
            <sz val="10"/>
            <rFont val="Tahoma"/>
            <family val="2"/>
          </rPr>
          <t xml:space="preserve">
Assumes 30.4 days per month</t>
        </r>
      </text>
    </comment>
    <comment ref="BA17" authorId="0">
      <text>
        <r>
          <rPr>
            <b/>
            <sz val="10"/>
            <rFont val="Tahoma"/>
            <family val="2"/>
          </rPr>
          <t>Robert S Eckard:</t>
        </r>
        <r>
          <rPr>
            <sz val="10"/>
            <rFont val="Tahoma"/>
            <family val="2"/>
          </rPr>
          <t xml:space="preserve">
Assumes 30.4 days per month</t>
        </r>
      </text>
    </comment>
    <comment ref="BA18" authorId="0">
      <text>
        <r>
          <rPr>
            <b/>
            <sz val="10"/>
            <rFont val="Tahoma"/>
            <family val="2"/>
          </rPr>
          <t>Robert S Eckard:</t>
        </r>
        <r>
          <rPr>
            <sz val="10"/>
            <rFont val="Tahoma"/>
            <family val="2"/>
          </rPr>
          <t xml:space="preserve">
Assumes 30.4 days per month</t>
        </r>
      </text>
    </comment>
    <comment ref="BA19" authorId="0">
      <text>
        <r>
          <rPr>
            <b/>
            <sz val="10"/>
            <rFont val="Tahoma"/>
            <family val="2"/>
          </rPr>
          <t>Robert S Eckard:</t>
        </r>
        <r>
          <rPr>
            <sz val="10"/>
            <rFont val="Tahoma"/>
            <family val="2"/>
          </rPr>
          <t xml:space="preserve">
Assumes 30.4 days per month</t>
        </r>
      </text>
    </comment>
    <comment ref="BA20" authorId="0">
      <text>
        <r>
          <rPr>
            <b/>
            <sz val="10"/>
            <rFont val="Tahoma"/>
            <family val="2"/>
          </rPr>
          <t>Robert S Eckard:</t>
        </r>
        <r>
          <rPr>
            <sz val="10"/>
            <rFont val="Tahoma"/>
            <family val="2"/>
          </rPr>
          <t xml:space="preserve">
Assumes 30.4 days per month</t>
        </r>
      </text>
    </comment>
    <comment ref="BA21" authorId="0">
      <text>
        <r>
          <rPr>
            <b/>
            <sz val="10"/>
            <rFont val="Tahoma"/>
            <family val="2"/>
          </rPr>
          <t>Robert S Eckard:</t>
        </r>
        <r>
          <rPr>
            <sz val="10"/>
            <rFont val="Tahoma"/>
            <family val="2"/>
          </rPr>
          <t xml:space="preserve">
Assumes 30.4 days per month</t>
        </r>
      </text>
    </comment>
    <comment ref="BA22" authorId="0">
      <text>
        <r>
          <rPr>
            <b/>
            <sz val="10"/>
            <rFont val="Tahoma"/>
            <family val="2"/>
          </rPr>
          <t>Robert S Eckard:</t>
        </r>
        <r>
          <rPr>
            <sz val="10"/>
            <rFont val="Tahoma"/>
            <family val="2"/>
          </rPr>
          <t xml:space="preserve">
Assumes 30.4 days per month</t>
        </r>
      </text>
    </comment>
    <comment ref="BA23" authorId="0">
      <text>
        <r>
          <rPr>
            <b/>
            <sz val="10"/>
            <rFont val="Tahoma"/>
            <family val="2"/>
          </rPr>
          <t>Robert S Eckard:</t>
        </r>
        <r>
          <rPr>
            <sz val="10"/>
            <rFont val="Tahoma"/>
            <family val="2"/>
          </rPr>
          <t xml:space="preserve">
Assumes 30.4 days per month</t>
        </r>
      </text>
    </comment>
    <comment ref="BA24" authorId="0">
      <text>
        <r>
          <rPr>
            <b/>
            <sz val="10"/>
            <rFont val="Tahoma"/>
            <family val="2"/>
          </rPr>
          <t>Robert S Eckard:</t>
        </r>
        <r>
          <rPr>
            <sz val="10"/>
            <rFont val="Tahoma"/>
            <family val="2"/>
          </rPr>
          <t xml:space="preserve">
Assumes 30.4 days per month</t>
        </r>
      </text>
    </comment>
    <comment ref="BA25" authorId="0">
      <text>
        <r>
          <rPr>
            <b/>
            <sz val="10"/>
            <rFont val="Tahoma"/>
            <family val="2"/>
          </rPr>
          <t>Robert S Eckard:</t>
        </r>
        <r>
          <rPr>
            <sz val="10"/>
            <rFont val="Tahoma"/>
            <family val="2"/>
          </rPr>
          <t xml:space="preserve">
Assumes 30.4 days per month</t>
        </r>
      </text>
    </comment>
    <comment ref="BA26" authorId="0">
      <text>
        <r>
          <rPr>
            <b/>
            <sz val="10"/>
            <rFont val="Tahoma"/>
            <family val="2"/>
          </rPr>
          <t>Robert S Eckard:</t>
        </r>
        <r>
          <rPr>
            <sz val="10"/>
            <rFont val="Tahoma"/>
            <family val="2"/>
          </rPr>
          <t xml:space="preserve">
Assumes 30.4 days per month</t>
        </r>
      </text>
    </comment>
    <comment ref="BA27" authorId="0">
      <text>
        <r>
          <rPr>
            <b/>
            <sz val="10"/>
            <rFont val="Tahoma"/>
            <family val="2"/>
          </rPr>
          <t>Robert S Eckard:</t>
        </r>
        <r>
          <rPr>
            <sz val="10"/>
            <rFont val="Tahoma"/>
            <family val="2"/>
          </rPr>
          <t xml:space="preserve">
Assumes 30.4 days per month</t>
        </r>
      </text>
    </comment>
    <comment ref="BA28" authorId="0">
      <text>
        <r>
          <rPr>
            <b/>
            <sz val="10"/>
            <rFont val="Tahoma"/>
            <family val="2"/>
          </rPr>
          <t>Robert S Eckard:</t>
        </r>
        <r>
          <rPr>
            <sz val="10"/>
            <rFont val="Tahoma"/>
            <family val="2"/>
          </rPr>
          <t xml:space="preserve">
Assumes 30.4 days per month</t>
        </r>
      </text>
    </comment>
    <comment ref="BA29" authorId="0">
      <text>
        <r>
          <rPr>
            <b/>
            <sz val="10"/>
            <rFont val="Tahoma"/>
            <family val="2"/>
          </rPr>
          <t>Robert S Eckard:</t>
        </r>
        <r>
          <rPr>
            <sz val="10"/>
            <rFont val="Tahoma"/>
            <family val="2"/>
          </rPr>
          <t xml:space="preserve">
Assumes 30.4 days per month</t>
        </r>
      </text>
    </comment>
    <comment ref="BA30" authorId="0">
      <text>
        <r>
          <rPr>
            <b/>
            <sz val="10"/>
            <rFont val="Tahoma"/>
            <family val="2"/>
          </rPr>
          <t>Robert S Eckard:</t>
        </r>
        <r>
          <rPr>
            <sz val="10"/>
            <rFont val="Tahoma"/>
            <family val="2"/>
          </rPr>
          <t xml:space="preserve">
Assumes 30.4 days per month</t>
        </r>
      </text>
    </comment>
    <comment ref="BA31" authorId="0">
      <text>
        <r>
          <rPr>
            <b/>
            <sz val="10"/>
            <rFont val="Tahoma"/>
            <family val="2"/>
          </rPr>
          <t>Robert S Eckard:</t>
        </r>
        <r>
          <rPr>
            <sz val="10"/>
            <rFont val="Tahoma"/>
            <family val="2"/>
          </rPr>
          <t xml:space="preserve">
Assumes 30.4 days per month</t>
        </r>
      </text>
    </comment>
    <comment ref="BA32" authorId="0">
      <text>
        <r>
          <rPr>
            <b/>
            <sz val="10"/>
            <rFont val="Tahoma"/>
            <family val="2"/>
          </rPr>
          <t>Robert S Eckard:</t>
        </r>
        <r>
          <rPr>
            <sz val="10"/>
            <rFont val="Tahoma"/>
            <family val="2"/>
          </rPr>
          <t xml:space="preserve">
Assumes 30.4 days per month</t>
        </r>
      </text>
    </comment>
    <comment ref="BA33" authorId="0">
      <text>
        <r>
          <rPr>
            <b/>
            <sz val="10"/>
            <rFont val="Tahoma"/>
            <family val="2"/>
          </rPr>
          <t>Robert S Eckard:</t>
        </r>
        <r>
          <rPr>
            <sz val="10"/>
            <rFont val="Tahoma"/>
            <family val="2"/>
          </rPr>
          <t xml:space="preserve">
Assumes 30.4 days per month</t>
        </r>
      </text>
    </comment>
    <comment ref="BA34" authorId="0">
      <text>
        <r>
          <rPr>
            <b/>
            <sz val="10"/>
            <rFont val="Tahoma"/>
            <family val="2"/>
          </rPr>
          <t>Robert S Eckard:</t>
        </r>
        <r>
          <rPr>
            <sz val="10"/>
            <rFont val="Tahoma"/>
            <family val="2"/>
          </rPr>
          <t xml:space="preserve">
Assumes 30.4 days per month</t>
        </r>
      </text>
    </comment>
    <comment ref="BA35" authorId="0">
      <text>
        <r>
          <rPr>
            <b/>
            <sz val="10"/>
            <rFont val="Tahoma"/>
            <family val="2"/>
          </rPr>
          <t>Robert S Eckard:</t>
        </r>
        <r>
          <rPr>
            <sz val="10"/>
            <rFont val="Tahoma"/>
            <family val="2"/>
          </rPr>
          <t xml:space="preserve">
Assumes 30.4 days per month</t>
        </r>
      </text>
    </comment>
    <comment ref="BA36" authorId="0">
      <text>
        <r>
          <rPr>
            <b/>
            <sz val="10"/>
            <rFont val="Tahoma"/>
            <family val="2"/>
          </rPr>
          <t>Robert S Eckard:</t>
        </r>
        <r>
          <rPr>
            <sz val="10"/>
            <rFont val="Tahoma"/>
            <family val="2"/>
          </rPr>
          <t xml:space="preserve">
Assumes 30.4 days per month</t>
        </r>
      </text>
    </comment>
    <comment ref="BA37" authorId="0">
      <text>
        <r>
          <rPr>
            <b/>
            <sz val="10"/>
            <rFont val="Tahoma"/>
            <family val="2"/>
          </rPr>
          <t>Robert S Eckard:</t>
        </r>
        <r>
          <rPr>
            <sz val="10"/>
            <rFont val="Tahoma"/>
            <family val="2"/>
          </rPr>
          <t xml:space="preserve">
Assumes 30.4 days per month</t>
        </r>
      </text>
    </comment>
    <comment ref="BA38" authorId="0">
      <text>
        <r>
          <rPr>
            <b/>
            <sz val="10"/>
            <rFont val="Tahoma"/>
            <family val="2"/>
          </rPr>
          <t>Robert S Eckard:</t>
        </r>
        <r>
          <rPr>
            <sz val="10"/>
            <rFont val="Tahoma"/>
            <family val="2"/>
          </rPr>
          <t xml:space="preserve">
Assumes 30.4 days per month</t>
        </r>
      </text>
    </comment>
    <comment ref="BA39" authorId="0">
      <text>
        <r>
          <rPr>
            <b/>
            <sz val="10"/>
            <rFont val="Tahoma"/>
            <family val="2"/>
          </rPr>
          <t>Robert S Eckard:</t>
        </r>
        <r>
          <rPr>
            <sz val="10"/>
            <rFont val="Tahoma"/>
            <family val="2"/>
          </rPr>
          <t xml:space="preserve">
Assumes 30.4 days per month</t>
        </r>
      </text>
    </comment>
    <comment ref="BA40" authorId="0">
      <text>
        <r>
          <rPr>
            <b/>
            <sz val="10"/>
            <rFont val="Tahoma"/>
            <family val="2"/>
          </rPr>
          <t>Robert S Eckard:</t>
        </r>
        <r>
          <rPr>
            <sz val="10"/>
            <rFont val="Tahoma"/>
            <family val="2"/>
          </rPr>
          <t xml:space="preserve">
Assumes 30.4 days per month</t>
        </r>
      </text>
    </comment>
    <comment ref="BA41" authorId="0">
      <text>
        <r>
          <rPr>
            <b/>
            <sz val="10"/>
            <rFont val="Tahoma"/>
            <family val="2"/>
          </rPr>
          <t>Robert S Eckard:</t>
        </r>
        <r>
          <rPr>
            <sz val="10"/>
            <rFont val="Tahoma"/>
            <family val="2"/>
          </rPr>
          <t xml:space="preserve">
Assumes 30.4 days per month</t>
        </r>
      </text>
    </comment>
    <comment ref="BA42" authorId="0">
      <text>
        <r>
          <rPr>
            <b/>
            <sz val="10"/>
            <rFont val="Tahoma"/>
            <family val="2"/>
          </rPr>
          <t>Robert S Eckard:</t>
        </r>
        <r>
          <rPr>
            <sz val="10"/>
            <rFont val="Tahoma"/>
            <family val="2"/>
          </rPr>
          <t xml:space="preserve">
Assumes 30.4 days per month</t>
        </r>
      </text>
    </comment>
    <comment ref="BA43" authorId="0">
      <text>
        <r>
          <rPr>
            <b/>
            <sz val="10"/>
            <rFont val="Tahoma"/>
            <family val="2"/>
          </rPr>
          <t>Robert S Eckard:</t>
        </r>
        <r>
          <rPr>
            <sz val="10"/>
            <rFont val="Tahoma"/>
            <family val="2"/>
          </rPr>
          <t xml:space="preserve">
Assumes 30.4 days per month</t>
        </r>
      </text>
    </comment>
    <comment ref="BA44" authorId="0">
      <text>
        <r>
          <rPr>
            <b/>
            <sz val="10"/>
            <rFont val="Tahoma"/>
            <family val="2"/>
          </rPr>
          <t>Robert S Eckard:</t>
        </r>
        <r>
          <rPr>
            <sz val="10"/>
            <rFont val="Tahoma"/>
            <family val="2"/>
          </rPr>
          <t xml:space="preserve">
Assumes 30.4 days per month</t>
        </r>
      </text>
    </comment>
    <comment ref="BA45" authorId="0">
      <text>
        <r>
          <rPr>
            <b/>
            <sz val="10"/>
            <rFont val="Tahoma"/>
            <family val="2"/>
          </rPr>
          <t>Robert S Eckard:</t>
        </r>
        <r>
          <rPr>
            <sz val="10"/>
            <rFont val="Tahoma"/>
            <family val="2"/>
          </rPr>
          <t xml:space="preserve">
Assumes 30.4 days per month</t>
        </r>
      </text>
    </comment>
    <comment ref="CB6" authorId="0">
      <text>
        <r>
          <rPr>
            <b/>
            <sz val="10"/>
            <rFont val="Tahoma"/>
            <family val="2"/>
          </rPr>
          <t>Robert S Eckard:</t>
        </r>
        <r>
          <rPr>
            <sz val="10"/>
            <rFont val="Tahoma"/>
            <family val="2"/>
          </rPr>
          <t xml:space="preserve">
Assumes 30.4 days per month</t>
        </r>
      </text>
    </comment>
    <comment ref="CB7" authorId="0">
      <text>
        <r>
          <rPr>
            <b/>
            <sz val="10"/>
            <rFont val="Tahoma"/>
            <family val="2"/>
          </rPr>
          <t>Robert S Eckard:</t>
        </r>
        <r>
          <rPr>
            <sz val="10"/>
            <rFont val="Tahoma"/>
            <family val="2"/>
          </rPr>
          <t xml:space="preserve">
Assumes 30.4 days per month</t>
        </r>
      </text>
    </comment>
    <comment ref="CB8" authorId="0">
      <text>
        <r>
          <rPr>
            <b/>
            <sz val="10"/>
            <rFont val="Tahoma"/>
            <family val="2"/>
          </rPr>
          <t>Robert S Eckard:</t>
        </r>
        <r>
          <rPr>
            <sz val="10"/>
            <rFont val="Tahoma"/>
            <family val="2"/>
          </rPr>
          <t xml:space="preserve">
Assumes 30.4 days per month</t>
        </r>
      </text>
    </comment>
    <comment ref="CB9" authorId="0">
      <text>
        <r>
          <rPr>
            <b/>
            <sz val="10"/>
            <rFont val="Tahoma"/>
            <family val="2"/>
          </rPr>
          <t>Robert S Eckard:</t>
        </r>
        <r>
          <rPr>
            <sz val="10"/>
            <rFont val="Tahoma"/>
            <family val="2"/>
          </rPr>
          <t xml:space="preserve">
Assumes 30.4 days per month</t>
        </r>
      </text>
    </comment>
    <comment ref="CB10" authorId="0">
      <text>
        <r>
          <rPr>
            <b/>
            <sz val="10"/>
            <rFont val="Tahoma"/>
            <family val="2"/>
          </rPr>
          <t>Robert S Eckard:</t>
        </r>
        <r>
          <rPr>
            <sz val="10"/>
            <rFont val="Tahoma"/>
            <family val="2"/>
          </rPr>
          <t xml:space="preserve">
Assumes 30.4 days per month</t>
        </r>
      </text>
    </comment>
    <comment ref="CB11" authorId="0">
      <text>
        <r>
          <rPr>
            <b/>
            <sz val="10"/>
            <rFont val="Tahoma"/>
            <family val="2"/>
          </rPr>
          <t>Robert S Eckard:</t>
        </r>
        <r>
          <rPr>
            <sz val="10"/>
            <rFont val="Tahoma"/>
            <family val="2"/>
          </rPr>
          <t xml:space="preserve">
Assumes 30.4 days per month</t>
        </r>
      </text>
    </comment>
    <comment ref="CB12" authorId="0">
      <text>
        <r>
          <rPr>
            <b/>
            <sz val="10"/>
            <rFont val="Tahoma"/>
            <family val="2"/>
          </rPr>
          <t>Robert S Eckard:</t>
        </r>
        <r>
          <rPr>
            <sz val="10"/>
            <rFont val="Tahoma"/>
            <family val="2"/>
          </rPr>
          <t xml:space="preserve">
Assumes 30.4 days per month</t>
        </r>
      </text>
    </comment>
    <comment ref="CB13" authorId="0">
      <text>
        <r>
          <rPr>
            <b/>
            <sz val="10"/>
            <rFont val="Tahoma"/>
            <family val="2"/>
          </rPr>
          <t>Robert S Eckard:</t>
        </r>
        <r>
          <rPr>
            <sz val="10"/>
            <rFont val="Tahoma"/>
            <family val="2"/>
          </rPr>
          <t xml:space="preserve">
Assumes 30.4 days per month</t>
        </r>
      </text>
    </comment>
    <comment ref="CB14" authorId="0">
      <text>
        <r>
          <rPr>
            <b/>
            <sz val="10"/>
            <rFont val="Tahoma"/>
            <family val="2"/>
          </rPr>
          <t>Robert S Eckard:</t>
        </r>
        <r>
          <rPr>
            <sz val="10"/>
            <rFont val="Tahoma"/>
            <family val="2"/>
          </rPr>
          <t xml:space="preserve">
Assumes 30.4 days per month</t>
        </r>
      </text>
    </comment>
    <comment ref="CB15" authorId="0">
      <text>
        <r>
          <rPr>
            <b/>
            <sz val="10"/>
            <rFont val="Tahoma"/>
            <family val="2"/>
          </rPr>
          <t>Robert S Eckard:</t>
        </r>
        <r>
          <rPr>
            <sz val="10"/>
            <rFont val="Tahoma"/>
            <family val="2"/>
          </rPr>
          <t xml:space="preserve">
Assumes 30.4 days per month</t>
        </r>
      </text>
    </comment>
    <comment ref="CB16" authorId="0">
      <text>
        <r>
          <rPr>
            <b/>
            <sz val="10"/>
            <rFont val="Tahoma"/>
            <family val="2"/>
          </rPr>
          <t>Robert S Eckard:</t>
        </r>
        <r>
          <rPr>
            <sz val="10"/>
            <rFont val="Tahoma"/>
            <family val="2"/>
          </rPr>
          <t xml:space="preserve">
Assumes 30.4 days per month</t>
        </r>
      </text>
    </comment>
    <comment ref="CB17" authorId="0">
      <text>
        <r>
          <rPr>
            <b/>
            <sz val="10"/>
            <rFont val="Tahoma"/>
            <family val="2"/>
          </rPr>
          <t>Robert S Eckard:</t>
        </r>
        <r>
          <rPr>
            <sz val="10"/>
            <rFont val="Tahoma"/>
            <family val="2"/>
          </rPr>
          <t xml:space="preserve">
Assumes 30.4 days per month</t>
        </r>
      </text>
    </comment>
    <comment ref="CB18" authorId="0">
      <text>
        <r>
          <rPr>
            <b/>
            <sz val="10"/>
            <rFont val="Tahoma"/>
            <family val="2"/>
          </rPr>
          <t>Robert S Eckard:</t>
        </r>
        <r>
          <rPr>
            <sz val="10"/>
            <rFont val="Tahoma"/>
            <family val="2"/>
          </rPr>
          <t xml:space="preserve">
Assumes 30.4 days per month</t>
        </r>
      </text>
    </comment>
    <comment ref="CB19" authorId="0">
      <text>
        <r>
          <rPr>
            <b/>
            <sz val="10"/>
            <rFont val="Tahoma"/>
            <family val="2"/>
          </rPr>
          <t>Robert S Eckard:</t>
        </r>
        <r>
          <rPr>
            <sz val="10"/>
            <rFont val="Tahoma"/>
            <family val="2"/>
          </rPr>
          <t xml:space="preserve">
Assumes 30.4 days per month</t>
        </r>
      </text>
    </comment>
    <comment ref="CB20" authorId="0">
      <text>
        <r>
          <rPr>
            <b/>
            <sz val="10"/>
            <rFont val="Tahoma"/>
            <family val="2"/>
          </rPr>
          <t>Robert S Eckard:</t>
        </r>
        <r>
          <rPr>
            <sz val="10"/>
            <rFont val="Tahoma"/>
            <family val="2"/>
          </rPr>
          <t xml:space="preserve">
Assumes 30.4 days per month</t>
        </r>
      </text>
    </comment>
    <comment ref="CB21" authorId="0">
      <text>
        <r>
          <rPr>
            <b/>
            <sz val="10"/>
            <rFont val="Tahoma"/>
            <family val="2"/>
          </rPr>
          <t>Robert S Eckard:</t>
        </r>
        <r>
          <rPr>
            <sz val="10"/>
            <rFont val="Tahoma"/>
            <family val="2"/>
          </rPr>
          <t xml:space="preserve">
Assumes 30.4 days per month</t>
        </r>
      </text>
    </comment>
    <comment ref="CB22" authorId="0">
      <text>
        <r>
          <rPr>
            <b/>
            <sz val="10"/>
            <rFont val="Tahoma"/>
            <family val="2"/>
          </rPr>
          <t>Robert S Eckard:</t>
        </r>
        <r>
          <rPr>
            <sz val="10"/>
            <rFont val="Tahoma"/>
            <family val="2"/>
          </rPr>
          <t xml:space="preserve">
Assumes 30.4 days per month</t>
        </r>
      </text>
    </comment>
    <comment ref="CB23" authorId="0">
      <text>
        <r>
          <rPr>
            <b/>
            <sz val="10"/>
            <rFont val="Tahoma"/>
            <family val="2"/>
          </rPr>
          <t>Robert S Eckard:</t>
        </r>
        <r>
          <rPr>
            <sz val="10"/>
            <rFont val="Tahoma"/>
            <family val="2"/>
          </rPr>
          <t xml:space="preserve">
Assumes 30.4 days per month</t>
        </r>
      </text>
    </comment>
    <comment ref="CB24" authorId="0">
      <text>
        <r>
          <rPr>
            <b/>
            <sz val="10"/>
            <rFont val="Tahoma"/>
            <family val="2"/>
          </rPr>
          <t>Robert S Eckard:</t>
        </r>
        <r>
          <rPr>
            <sz val="10"/>
            <rFont val="Tahoma"/>
            <family val="2"/>
          </rPr>
          <t xml:space="preserve">
Assumes 30.4 days per month</t>
        </r>
      </text>
    </comment>
    <comment ref="CB25" authorId="0">
      <text>
        <r>
          <rPr>
            <b/>
            <sz val="10"/>
            <rFont val="Tahoma"/>
            <family val="2"/>
          </rPr>
          <t>Robert S Eckard:</t>
        </r>
        <r>
          <rPr>
            <sz val="10"/>
            <rFont val="Tahoma"/>
            <family val="2"/>
          </rPr>
          <t xml:space="preserve">
Assumes 30.4 days per month</t>
        </r>
      </text>
    </comment>
    <comment ref="CB26" authorId="0">
      <text>
        <r>
          <rPr>
            <b/>
            <sz val="10"/>
            <rFont val="Tahoma"/>
            <family val="2"/>
          </rPr>
          <t>Robert S Eckard:</t>
        </r>
        <r>
          <rPr>
            <sz val="10"/>
            <rFont val="Tahoma"/>
            <family val="2"/>
          </rPr>
          <t xml:space="preserve">
Assumes 30.4 days per month</t>
        </r>
      </text>
    </comment>
    <comment ref="CB27" authorId="0">
      <text>
        <r>
          <rPr>
            <b/>
            <sz val="10"/>
            <rFont val="Tahoma"/>
            <family val="2"/>
          </rPr>
          <t>Robert S Eckard:</t>
        </r>
        <r>
          <rPr>
            <sz val="10"/>
            <rFont val="Tahoma"/>
            <family val="2"/>
          </rPr>
          <t xml:space="preserve">
Assumes 30.4 days per month</t>
        </r>
      </text>
    </comment>
    <comment ref="CB28" authorId="0">
      <text>
        <r>
          <rPr>
            <b/>
            <sz val="10"/>
            <rFont val="Tahoma"/>
            <family val="2"/>
          </rPr>
          <t>Robert S Eckard:</t>
        </r>
        <r>
          <rPr>
            <sz val="10"/>
            <rFont val="Tahoma"/>
            <family val="2"/>
          </rPr>
          <t xml:space="preserve">
Assumes 30.4 days per month</t>
        </r>
      </text>
    </comment>
    <comment ref="CB29" authorId="0">
      <text>
        <r>
          <rPr>
            <b/>
            <sz val="10"/>
            <rFont val="Tahoma"/>
            <family val="2"/>
          </rPr>
          <t>Robert S Eckard:</t>
        </r>
        <r>
          <rPr>
            <sz val="10"/>
            <rFont val="Tahoma"/>
            <family val="2"/>
          </rPr>
          <t xml:space="preserve">
Assumes 30.4 days per month</t>
        </r>
      </text>
    </comment>
    <comment ref="CB30" authorId="0">
      <text>
        <r>
          <rPr>
            <b/>
            <sz val="10"/>
            <rFont val="Tahoma"/>
            <family val="2"/>
          </rPr>
          <t>Robert S Eckard:</t>
        </r>
        <r>
          <rPr>
            <sz val="10"/>
            <rFont val="Tahoma"/>
            <family val="2"/>
          </rPr>
          <t xml:space="preserve">
Assumes 30.4 days per month</t>
        </r>
      </text>
    </comment>
    <comment ref="CB31" authorId="0">
      <text>
        <r>
          <rPr>
            <b/>
            <sz val="10"/>
            <rFont val="Tahoma"/>
            <family val="2"/>
          </rPr>
          <t>Robert S Eckard:</t>
        </r>
        <r>
          <rPr>
            <sz val="10"/>
            <rFont val="Tahoma"/>
            <family val="2"/>
          </rPr>
          <t xml:space="preserve">
Assumes 30.4 days per month</t>
        </r>
      </text>
    </comment>
    <comment ref="CB32" authorId="0">
      <text>
        <r>
          <rPr>
            <b/>
            <sz val="10"/>
            <rFont val="Tahoma"/>
            <family val="2"/>
          </rPr>
          <t>Robert S Eckard:</t>
        </r>
        <r>
          <rPr>
            <sz val="10"/>
            <rFont val="Tahoma"/>
            <family val="2"/>
          </rPr>
          <t xml:space="preserve">
Assumes 30.4 days per month</t>
        </r>
      </text>
    </comment>
    <comment ref="CB33" authorId="0">
      <text>
        <r>
          <rPr>
            <b/>
            <sz val="10"/>
            <rFont val="Tahoma"/>
            <family val="2"/>
          </rPr>
          <t>Robert S Eckard:</t>
        </r>
        <r>
          <rPr>
            <sz val="10"/>
            <rFont val="Tahoma"/>
            <family val="2"/>
          </rPr>
          <t xml:space="preserve">
Assumes 30.4 days per month</t>
        </r>
      </text>
    </comment>
    <comment ref="CB34" authorId="0">
      <text>
        <r>
          <rPr>
            <b/>
            <sz val="10"/>
            <rFont val="Tahoma"/>
            <family val="2"/>
          </rPr>
          <t>Robert S Eckard:</t>
        </r>
        <r>
          <rPr>
            <sz val="10"/>
            <rFont val="Tahoma"/>
            <family val="2"/>
          </rPr>
          <t xml:space="preserve">
Assumes 30.4 days per month</t>
        </r>
      </text>
    </comment>
    <comment ref="CB35" authorId="0">
      <text>
        <r>
          <rPr>
            <b/>
            <sz val="10"/>
            <rFont val="Tahoma"/>
            <family val="2"/>
          </rPr>
          <t>Robert S Eckard:</t>
        </r>
        <r>
          <rPr>
            <sz val="10"/>
            <rFont val="Tahoma"/>
            <family val="2"/>
          </rPr>
          <t xml:space="preserve">
Assumes 30.4 days per month</t>
        </r>
      </text>
    </comment>
    <comment ref="CB36" authorId="0">
      <text>
        <r>
          <rPr>
            <b/>
            <sz val="10"/>
            <rFont val="Tahoma"/>
            <family val="2"/>
          </rPr>
          <t>Robert S Eckard:</t>
        </r>
        <r>
          <rPr>
            <sz val="10"/>
            <rFont val="Tahoma"/>
            <family val="2"/>
          </rPr>
          <t xml:space="preserve">
Assumes 30.4 days per month</t>
        </r>
      </text>
    </comment>
    <comment ref="CB37" authorId="0">
      <text>
        <r>
          <rPr>
            <b/>
            <sz val="10"/>
            <rFont val="Tahoma"/>
            <family val="2"/>
          </rPr>
          <t>Robert S Eckard:</t>
        </r>
        <r>
          <rPr>
            <sz val="10"/>
            <rFont val="Tahoma"/>
            <family val="2"/>
          </rPr>
          <t xml:space="preserve">
Assumes 30.4 days per month</t>
        </r>
      </text>
    </comment>
    <comment ref="CB38" authorId="0">
      <text>
        <r>
          <rPr>
            <b/>
            <sz val="10"/>
            <rFont val="Tahoma"/>
            <family val="2"/>
          </rPr>
          <t>Robert S Eckard:</t>
        </r>
        <r>
          <rPr>
            <sz val="10"/>
            <rFont val="Tahoma"/>
            <family val="2"/>
          </rPr>
          <t xml:space="preserve">
Assumes 30.4 days per month</t>
        </r>
      </text>
    </comment>
    <comment ref="CB39" authorId="0">
      <text>
        <r>
          <rPr>
            <b/>
            <sz val="10"/>
            <rFont val="Tahoma"/>
            <family val="2"/>
          </rPr>
          <t>Robert S Eckard:</t>
        </r>
        <r>
          <rPr>
            <sz val="10"/>
            <rFont val="Tahoma"/>
            <family val="2"/>
          </rPr>
          <t xml:space="preserve">
Assumes 30.4 days per month</t>
        </r>
      </text>
    </comment>
    <comment ref="CB40" authorId="0">
      <text>
        <r>
          <rPr>
            <b/>
            <sz val="10"/>
            <rFont val="Tahoma"/>
            <family val="2"/>
          </rPr>
          <t>Robert S Eckard:</t>
        </r>
        <r>
          <rPr>
            <sz val="10"/>
            <rFont val="Tahoma"/>
            <family val="2"/>
          </rPr>
          <t xml:space="preserve">
Assumes 30.4 days per month</t>
        </r>
      </text>
    </comment>
    <comment ref="CB41" authorId="0">
      <text>
        <r>
          <rPr>
            <b/>
            <sz val="10"/>
            <rFont val="Tahoma"/>
            <family val="2"/>
          </rPr>
          <t>Robert S Eckard:</t>
        </r>
        <r>
          <rPr>
            <sz val="10"/>
            <rFont val="Tahoma"/>
            <family val="2"/>
          </rPr>
          <t xml:space="preserve">
Assumes 30.4 days per month</t>
        </r>
      </text>
    </comment>
    <comment ref="CB42" authorId="0">
      <text>
        <r>
          <rPr>
            <b/>
            <sz val="10"/>
            <rFont val="Tahoma"/>
            <family val="2"/>
          </rPr>
          <t>Robert S Eckard:</t>
        </r>
        <r>
          <rPr>
            <sz val="10"/>
            <rFont val="Tahoma"/>
            <family val="2"/>
          </rPr>
          <t xml:space="preserve">
Assumes 30.4 days per month</t>
        </r>
      </text>
    </comment>
    <comment ref="CB43" authorId="0">
      <text>
        <r>
          <rPr>
            <b/>
            <sz val="10"/>
            <rFont val="Tahoma"/>
            <family val="2"/>
          </rPr>
          <t>Robert S Eckard:</t>
        </r>
        <r>
          <rPr>
            <sz val="10"/>
            <rFont val="Tahoma"/>
            <family val="2"/>
          </rPr>
          <t xml:space="preserve">
Assumes 30.4 days per month</t>
        </r>
      </text>
    </comment>
    <comment ref="CB44" authorId="0">
      <text>
        <r>
          <rPr>
            <b/>
            <sz val="10"/>
            <rFont val="Tahoma"/>
            <family val="2"/>
          </rPr>
          <t>Robert S Eckard:</t>
        </r>
        <r>
          <rPr>
            <sz val="10"/>
            <rFont val="Tahoma"/>
            <family val="2"/>
          </rPr>
          <t xml:space="preserve">
Assumes 30.4 days per month</t>
        </r>
      </text>
    </comment>
    <comment ref="CB45" authorId="0">
      <text>
        <r>
          <rPr>
            <b/>
            <sz val="10"/>
            <rFont val="Tahoma"/>
            <family val="2"/>
          </rPr>
          <t>Robert S Eckard:</t>
        </r>
        <r>
          <rPr>
            <sz val="10"/>
            <rFont val="Tahoma"/>
            <family val="2"/>
          </rPr>
          <t xml:space="preserve">
Assumes 30.4 days per month</t>
        </r>
      </text>
    </comment>
    <comment ref="CK6" authorId="0">
      <text>
        <r>
          <rPr>
            <b/>
            <sz val="10"/>
            <rFont val="Tahoma"/>
            <family val="2"/>
          </rPr>
          <t>Robert S Eckard:</t>
        </r>
        <r>
          <rPr>
            <sz val="10"/>
            <rFont val="Tahoma"/>
            <family val="2"/>
          </rPr>
          <t xml:space="preserve">
Assumes 30.4 days per month</t>
        </r>
      </text>
    </comment>
    <comment ref="CK7" authorId="0">
      <text>
        <r>
          <rPr>
            <b/>
            <sz val="10"/>
            <rFont val="Tahoma"/>
            <family val="2"/>
          </rPr>
          <t>Robert S Eckard:</t>
        </r>
        <r>
          <rPr>
            <sz val="10"/>
            <rFont val="Tahoma"/>
            <family val="2"/>
          </rPr>
          <t xml:space="preserve">
Assumes 30.4 days per month</t>
        </r>
      </text>
    </comment>
    <comment ref="CK8" authorId="0">
      <text>
        <r>
          <rPr>
            <b/>
            <sz val="10"/>
            <rFont val="Tahoma"/>
            <family val="2"/>
          </rPr>
          <t>Robert S Eckard:</t>
        </r>
        <r>
          <rPr>
            <sz val="10"/>
            <rFont val="Tahoma"/>
            <family val="2"/>
          </rPr>
          <t xml:space="preserve">
Assumes 30.4 days per month</t>
        </r>
      </text>
    </comment>
    <comment ref="CK9" authorId="0">
      <text>
        <r>
          <rPr>
            <b/>
            <sz val="10"/>
            <rFont val="Tahoma"/>
            <family val="2"/>
          </rPr>
          <t>Robert S Eckard:</t>
        </r>
        <r>
          <rPr>
            <sz val="10"/>
            <rFont val="Tahoma"/>
            <family val="2"/>
          </rPr>
          <t xml:space="preserve">
Assumes 30.4 days per month</t>
        </r>
      </text>
    </comment>
    <comment ref="CK10" authorId="0">
      <text>
        <r>
          <rPr>
            <b/>
            <sz val="10"/>
            <rFont val="Tahoma"/>
            <family val="2"/>
          </rPr>
          <t>Robert S Eckard:</t>
        </r>
        <r>
          <rPr>
            <sz val="10"/>
            <rFont val="Tahoma"/>
            <family val="2"/>
          </rPr>
          <t xml:space="preserve">
Assumes 30.4 days per month</t>
        </r>
      </text>
    </comment>
    <comment ref="CK11" authorId="0">
      <text>
        <r>
          <rPr>
            <b/>
            <sz val="10"/>
            <rFont val="Tahoma"/>
            <family val="2"/>
          </rPr>
          <t>Robert S Eckard:</t>
        </r>
        <r>
          <rPr>
            <sz val="10"/>
            <rFont val="Tahoma"/>
            <family val="2"/>
          </rPr>
          <t xml:space="preserve">
Assumes 30.4 days per month</t>
        </r>
      </text>
    </comment>
    <comment ref="CK12" authorId="0">
      <text>
        <r>
          <rPr>
            <b/>
            <sz val="10"/>
            <rFont val="Tahoma"/>
            <family val="2"/>
          </rPr>
          <t>Robert S Eckard:</t>
        </r>
        <r>
          <rPr>
            <sz val="10"/>
            <rFont val="Tahoma"/>
            <family val="2"/>
          </rPr>
          <t xml:space="preserve">
Assumes 30.4 days per month</t>
        </r>
      </text>
    </comment>
    <comment ref="CK13" authorId="0">
      <text>
        <r>
          <rPr>
            <b/>
            <sz val="10"/>
            <rFont val="Tahoma"/>
            <family val="2"/>
          </rPr>
          <t>Robert S Eckard:</t>
        </r>
        <r>
          <rPr>
            <sz val="10"/>
            <rFont val="Tahoma"/>
            <family val="2"/>
          </rPr>
          <t xml:space="preserve">
Assumes 30.4 days per month</t>
        </r>
      </text>
    </comment>
    <comment ref="CK14" authorId="0">
      <text>
        <r>
          <rPr>
            <b/>
            <sz val="10"/>
            <rFont val="Tahoma"/>
            <family val="2"/>
          </rPr>
          <t>Robert S Eckard:</t>
        </r>
        <r>
          <rPr>
            <sz val="10"/>
            <rFont val="Tahoma"/>
            <family val="2"/>
          </rPr>
          <t xml:space="preserve">
Assumes 30.4 days per month</t>
        </r>
      </text>
    </comment>
    <comment ref="CK15" authorId="0">
      <text>
        <r>
          <rPr>
            <b/>
            <sz val="10"/>
            <rFont val="Tahoma"/>
            <family val="2"/>
          </rPr>
          <t>Robert S Eckard:</t>
        </r>
        <r>
          <rPr>
            <sz val="10"/>
            <rFont val="Tahoma"/>
            <family val="2"/>
          </rPr>
          <t xml:space="preserve">
Assumes 30.4 days per month</t>
        </r>
      </text>
    </comment>
    <comment ref="CK16" authorId="0">
      <text>
        <r>
          <rPr>
            <b/>
            <sz val="10"/>
            <rFont val="Tahoma"/>
            <family val="2"/>
          </rPr>
          <t>Robert S Eckard:</t>
        </r>
        <r>
          <rPr>
            <sz val="10"/>
            <rFont val="Tahoma"/>
            <family val="2"/>
          </rPr>
          <t xml:space="preserve">
Assumes 30.4 days per month</t>
        </r>
      </text>
    </comment>
    <comment ref="CK17" authorId="0">
      <text>
        <r>
          <rPr>
            <b/>
            <sz val="10"/>
            <rFont val="Tahoma"/>
            <family val="2"/>
          </rPr>
          <t>Robert S Eckard:</t>
        </r>
        <r>
          <rPr>
            <sz val="10"/>
            <rFont val="Tahoma"/>
            <family val="2"/>
          </rPr>
          <t xml:space="preserve">
Assumes 30.4 days per month</t>
        </r>
      </text>
    </comment>
    <comment ref="CK18" authorId="0">
      <text>
        <r>
          <rPr>
            <b/>
            <sz val="10"/>
            <rFont val="Tahoma"/>
            <family val="2"/>
          </rPr>
          <t>Robert S Eckard:</t>
        </r>
        <r>
          <rPr>
            <sz val="10"/>
            <rFont val="Tahoma"/>
            <family val="2"/>
          </rPr>
          <t xml:space="preserve">
Assumes 30.4 days per month</t>
        </r>
      </text>
    </comment>
    <comment ref="CK19" authorId="0">
      <text>
        <r>
          <rPr>
            <b/>
            <sz val="10"/>
            <rFont val="Tahoma"/>
            <family val="2"/>
          </rPr>
          <t>Robert S Eckard:</t>
        </r>
        <r>
          <rPr>
            <sz val="10"/>
            <rFont val="Tahoma"/>
            <family val="2"/>
          </rPr>
          <t xml:space="preserve">
Assumes 30.4 days per month</t>
        </r>
      </text>
    </comment>
    <comment ref="CK20" authorId="0">
      <text>
        <r>
          <rPr>
            <b/>
            <sz val="10"/>
            <rFont val="Tahoma"/>
            <family val="2"/>
          </rPr>
          <t>Robert S Eckard:</t>
        </r>
        <r>
          <rPr>
            <sz val="10"/>
            <rFont val="Tahoma"/>
            <family val="2"/>
          </rPr>
          <t xml:space="preserve">
Assumes 30.4 days per month</t>
        </r>
      </text>
    </comment>
    <comment ref="CK21" authorId="0">
      <text>
        <r>
          <rPr>
            <b/>
            <sz val="10"/>
            <rFont val="Tahoma"/>
            <family val="2"/>
          </rPr>
          <t>Robert S Eckard:</t>
        </r>
        <r>
          <rPr>
            <sz val="10"/>
            <rFont val="Tahoma"/>
            <family val="2"/>
          </rPr>
          <t xml:space="preserve">
Assumes 30.4 days per month</t>
        </r>
      </text>
    </comment>
    <comment ref="CK22" authorId="0">
      <text>
        <r>
          <rPr>
            <b/>
            <sz val="10"/>
            <rFont val="Tahoma"/>
            <family val="2"/>
          </rPr>
          <t>Robert S Eckard:</t>
        </r>
        <r>
          <rPr>
            <sz val="10"/>
            <rFont val="Tahoma"/>
            <family val="2"/>
          </rPr>
          <t xml:space="preserve">
Assumes 30.4 days per month</t>
        </r>
      </text>
    </comment>
    <comment ref="CK23" authorId="0">
      <text>
        <r>
          <rPr>
            <b/>
            <sz val="10"/>
            <rFont val="Tahoma"/>
            <family val="2"/>
          </rPr>
          <t>Robert S Eckard:</t>
        </r>
        <r>
          <rPr>
            <sz val="10"/>
            <rFont val="Tahoma"/>
            <family val="2"/>
          </rPr>
          <t xml:space="preserve">
Assumes 30.4 days per month</t>
        </r>
      </text>
    </comment>
    <comment ref="CK24" authorId="0">
      <text>
        <r>
          <rPr>
            <b/>
            <sz val="10"/>
            <rFont val="Tahoma"/>
            <family val="2"/>
          </rPr>
          <t>Robert S Eckard:</t>
        </r>
        <r>
          <rPr>
            <sz val="10"/>
            <rFont val="Tahoma"/>
            <family val="2"/>
          </rPr>
          <t xml:space="preserve">
Assumes 30.4 days per month</t>
        </r>
      </text>
    </comment>
    <comment ref="CK25" authorId="0">
      <text>
        <r>
          <rPr>
            <b/>
            <sz val="10"/>
            <rFont val="Tahoma"/>
            <family val="2"/>
          </rPr>
          <t>Robert S Eckard:</t>
        </r>
        <r>
          <rPr>
            <sz val="10"/>
            <rFont val="Tahoma"/>
            <family val="2"/>
          </rPr>
          <t xml:space="preserve">
Assumes 30.4 days per month</t>
        </r>
      </text>
    </comment>
    <comment ref="CK26" authorId="0">
      <text>
        <r>
          <rPr>
            <b/>
            <sz val="10"/>
            <rFont val="Tahoma"/>
            <family val="2"/>
          </rPr>
          <t>Robert S Eckard:</t>
        </r>
        <r>
          <rPr>
            <sz val="10"/>
            <rFont val="Tahoma"/>
            <family val="2"/>
          </rPr>
          <t xml:space="preserve">
Assumes 30.4 days per month</t>
        </r>
      </text>
    </comment>
    <comment ref="CK27" authorId="0">
      <text>
        <r>
          <rPr>
            <b/>
            <sz val="10"/>
            <rFont val="Tahoma"/>
            <family val="2"/>
          </rPr>
          <t>Robert S Eckard:</t>
        </r>
        <r>
          <rPr>
            <sz val="10"/>
            <rFont val="Tahoma"/>
            <family val="2"/>
          </rPr>
          <t xml:space="preserve">
Assumes 30.4 days per month</t>
        </r>
      </text>
    </comment>
    <comment ref="CK28" authorId="0">
      <text>
        <r>
          <rPr>
            <b/>
            <sz val="10"/>
            <rFont val="Tahoma"/>
            <family val="2"/>
          </rPr>
          <t>Robert S Eckard:</t>
        </r>
        <r>
          <rPr>
            <sz val="10"/>
            <rFont val="Tahoma"/>
            <family val="2"/>
          </rPr>
          <t xml:space="preserve">
Assumes 30.4 days per month</t>
        </r>
      </text>
    </comment>
    <comment ref="CK29" authorId="0">
      <text>
        <r>
          <rPr>
            <b/>
            <sz val="10"/>
            <rFont val="Tahoma"/>
            <family val="2"/>
          </rPr>
          <t>Robert S Eckard:</t>
        </r>
        <r>
          <rPr>
            <sz val="10"/>
            <rFont val="Tahoma"/>
            <family val="2"/>
          </rPr>
          <t xml:space="preserve">
Assumes 30.4 days per month</t>
        </r>
      </text>
    </comment>
    <comment ref="CK30" authorId="0">
      <text>
        <r>
          <rPr>
            <b/>
            <sz val="10"/>
            <rFont val="Tahoma"/>
            <family val="2"/>
          </rPr>
          <t>Robert S Eckard:</t>
        </r>
        <r>
          <rPr>
            <sz val="10"/>
            <rFont val="Tahoma"/>
            <family val="2"/>
          </rPr>
          <t xml:space="preserve">
Assumes 30.4 days per month</t>
        </r>
      </text>
    </comment>
    <comment ref="CK31" authorId="0">
      <text>
        <r>
          <rPr>
            <b/>
            <sz val="10"/>
            <rFont val="Tahoma"/>
            <family val="2"/>
          </rPr>
          <t>Robert S Eckard:</t>
        </r>
        <r>
          <rPr>
            <sz val="10"/>
            <rFont val="Tahoma"/>
            <family val="2"/>
          </rPr>
          <t xml:space="preserve">
Assumes 30.4 days per month</t>
        </r>
      </text>
    </comment>
    <comment ref="CK32" authorId="0">
      <text>
        <r>
          <rPr>
            <b/>
            <sz val="10"/>
            <rFont val="Tahoma"/>
            <family val="2"/>
          </rPr>
          <t>Robert S Eckard:</t>
        </r>
        <r>
          <rPr>
            <sz val="10"/>
            <rFont val="Tahoma"/>
            <family val="2"/>
          </rPr>
          <t xml:space="preserve">
Assumes 30.4 days per month</t>
        </r>
      </text>
    </comment>
    <comment ref="CK33" authorId="0">
      <text>
        <r>
          <rPr>
            <b/>
            <sz val="10"/>
            <rFont val="Tahoma"/>
            <family val="2"/>
          </rPr>
          <t>Robert S Eckard:</t>
        </r>
        <r>
          <rPr>
            <sz val="10"/>
            <rFont val="Tahoma"/>
            <family val="2"/>
          </rPr>
          <t xml:space="preserve">
Assumes 30.4 days per month</t>
        </r>
      </text>
    </comment>
    <comment ref="CK34" authorId="0">
      <text>
        <r>
          <rPr>
            <b/>
            <sz val="10"/>
            <rFont val="Tahoma"/>
            <family val="2"/>
          </rPr>
          <t>Robert S Eckard:</t>
        </r>
        <r>
          <rPr>
            <sz val="10"/>
            <rFont val="Tahoma"/>
            <family val="2"/>
          </rPr>
          <t xml:space="preserve">
Assumes 30.4 days per month</t>
        </r>
      </text>
    </comment>
    <comment ref="CK35" authorId="0">
      <text>
        <r>
          <rPr>
            <b/>
            <sz val="10"/>
            <rFont val="Tahoma"/>
            <family val="2"/>
          </rPr>
          <t>Robert S Eckard:</t>
        </r>
        <r>
          <rPr>
            <sz val="10"/>
            <rFont val="Tahoma"/>
            <family val="2"/>
          </rPr>
          <t xml:space="preserve">
Assumes 30.4 days per month</t>
        </r>
      </text>
    </comment>
    <comment ref="CK36" authorId="0">
      <text>
        <r>
          <rPr>
            <b/>
            <sz val="10"/>
            <rFont val="Tahoma"/>
            <family val="2"/>
          </rPr>
          <t>Robert S Eckard:</t>
        </r>
        <r>
          <rPr>
            <sz val="10"/>
            <rFont val="Tahoma"/>
            <family val="2"/>
          </rPr>
          <t xml:space="preserve">
Assumes 30.4 days per month</t>
        </r>
      </text>
    </comment>
    <comment ref="CK37" authorId="0">
      <text>
        <r>
          <rPr>
            <b/>
            <sz val="10"/>
            <rFont val="Tahoma"/>
            <family val="2"/>
          </rPr>
          <t>Robert S Eckard:</t>
        </r>
        <r>
          <rPr>
            <sz val="10"/>
            <rFont val="Tahoma"/>
            <family val="2"/>
          </rPr>
          <t xml:space="preserve">
Assumes 30.4 days per month</t>
        </r>
      </text>
    </comment>
    <comment ref="CK38" authorId="0">
      <text>
        <r>
          <rPr>
            <b/>
            <sz val="10"/>
            <rFont val="Tahoma"/>
            <family val="2"/>
          </rPr>
          <t>Robert S Eckard:</t>
        </r>
        <r>
          <rPr>
            <sz val="10"/>
            <rFont val="Tahoma"/>
            <family val="2"/>
          </rPr>
          <t xml:space="preserve">
Assumes 30.4 days per month</t>
        </r>
      </text>
    </comment>
    <comment ref="CK39" authorId="0">
      <text>
        <r>
          <rPr>
            <b/>
            <sz val="10"/>
            <rFont val="Tahoma"/>
            <family val="2"/>
          </rPr>
          <t>Robert S Eckard:</t>
        </r>
        <r>
          <rPr>
            <sz val="10"/>
            <rFont val="Tahoma"/>
            <family val="2"/>
          </rPr>
          <t xml:space="preserve">
Assumes 30.4 days per month</t>
        </r>
      </text>
    </comment>
    <comment ref="CK40" authorId="0">
      <text>
        <r>
          <rPr>
            <b/>
            <sz val="10"/>
            <rFont val="Tahoma"/>
            <family val="2"/>
          </rPr>
          <t>Robert S Eckard:</t>
        </r>
        <r>
          <rPr>
            <sz val="10"/>
            <rFont val="Tahoma"/>
            <family val="2"/>
          </rPr>
          <t xml:space="preserve">
Assumes 30.4 days per month</t>
        </r>
      </text>
    </comment>
    <comment ref="CK41" authorId="0">
      <text>
        <r>
          <rPr>
            <b/>
            <sz val="10"/>
            <rFont val="Tahoma"/>
            <family val="2"/>
          </rPr>
          <t>Robert S Eckard:</t>
        </r>
        <r>
          <rPr>
            <sz val="10"/>
            <rFont val="Tahoma"/>
            <family val="2"/>
          </rPr>
          <t xml:space="preserve">
Assumes 30.4 days per month</t>
        </r>
      </text>
    </comment>
    <comment ref="CK42" authorId="0">
      <text>
        <r>
          <rPr>
            <b/>
            <sz val="10"/>
            <rFont val="Tahoma"/>
            <family val="2"/>
          </rPr>
          <t>Robert S Eckard:</t>
        </r>
        <r>
          <rPr>
            <sz val="10"/>
            <rFont val="Tahoma"/>
            <family val="2"/>
          </rPr>
          <t xml:space="preserve">
Assumes 30.4 days per month</t>
        </r>
      </text>
    </comment>
    <comment ref="CK43" authorId="0">
      <text>
        <r>
          <rPr>
            <b/>
            <sz val="10"/>
            <rFont val="Tahoma"/>
            <family val="2"/>
          </rPr>
          <t>Robert S Eckard:</t>
        </r>
        <r>
          <rPr>
            <sz val="10"/>
            <rFont val="Tahoma"/>
            <family val="2"/>
          </rPr>
          <t xml:space="preserve">
Assumes 30.4 days per month</t>
        </r>
      </text>
    </comment>
    <comment ref="CK44" authorId="0">
      <text>
        <r>
          <rPr>
            <b/>
            <sz val="10"/>
            <rFont val="Tahoma"/>
            <family val="2"/>
          </rPr>
          <t>Robert S Eckard:</t>
        </r>
        <r>
          <rPr>
            <sz val="10"/>
            <rFont val="Tahoma"/>
            <family val="2"/>
          </rPr>
          <t xml:space="preserve">
Assumes 30.4 days per month</t>
        </r>
      </text>
    </comment>
    <comment ref="CK45" authorId="0">
      <text>
        <r>
          <rPr>
            <b/>
            <sz val="10"/>
            <rFont val="Tahoma"/>
            <family val="2"/>
          </rPr>
          <t>Robert S Eckard:</t>
        </r>
        <r>
          <rPr>
            <sz val="10"/>
            <rFont val="Tahoma"/>
            <family val="2"/>
          </rPr>
          <t xml:space="preserve">
Assumes 30.4 days per month</t>
        </r>
      </text>
    </comment>
    <comment ref="CT5" authorId="0">
      <text>
        <r>
          <rPr>
            <b/>
            <sz val="10"/>
            <rFont val="Tahoma"/>
            <family val="2"/>
          </rPr>
          <t>Robert S Eckard:</t>
        </r>
        <r>
          <rPr>
            <sz val="10"/>
            <rFont val="Tahoma"/>
            <family val="2"/>
          </rPr>
          <t xml:space="preserve">
Assumes 30.4 days per month</t>
        </r>
      </text>
    </comment>
    <comment ref="CT6" authorId="0">
      <text>
        <r>
          <rPr>
            <b/>
            <sz val="10"/>
            <rFont val="Tahoma"/>
            <family val="2"/>
          </rPr>
          <t>Robert S Eckard:</t>
        </r>
        <r>
          <rPr>
            <sz val="10"/>
            <rFont val="Tahoma"/>
            <family val="2"/>
          </rPr>
          <t xml:space="preserve">
Assumes 30.4 days per month</t>
        </r>
      </text>
    </comment>
    <comment ref="CT8" authorId="0">
      <text>
        <r>
          <rPr>
            <b/>
            <sz val="10"/>
            <rFont val="Tahoma"/>
            <family val="2"/>
          </rPr>
          <t>Robert S Eckard:</t>
        </r>
        <r>
          <rPr>
            <sz val="10"/>
            <rFont val="Tahoma"/>
            <family val="2"/>
          </rPr>
          <t xml:space="preserve">
Assumes 30.4 days per month</t>
        </r>
      </text>
    </comment>
    <comment ref="CT9" authorId="0">
      <text>
        <r>
          <rPr>
            <b/>
            <sz val="10"/>
            <rFont val="Tahoma"/>
            <family val="2"/>
          </rPr>
          <t>Robert S Eckard:</t>
        </r>
        <r>
          <rPr>
            <sz val="10"/>
            <rFont val="Tahoma"/>
            <family val="2"/>
          </rPr>
          <t xml:space="preserve">
Assumes 30.4 days per month</t>
        </r>
      </text>
    </comment>
    <comment ref="CT10" authorId="0">
      <text>
        <r>
          <rPr>
            <b/>
            <sz val="10"/>
            <rFont val="Tahoma"/>
            <family val="2"/>
          </rPr>
          <t>Robert S Eckard:</t>
        </r>
        <r>
          <rPr>
            <sz val="10"/>
            <rFont val="Tahoma"/>
            <family val="2"/>
          </rPr>
          <t xml:space="preserve">
Assumes 30.4 days per month</t>
        </r>
      </text>
    </comment>
    <comment ref="CT11" authorId="0">
      <text>
        <r>
          <rPr>
            <b/>
            <sz val="10"/>
            <rFont val="Tahoma"/>
            <family val="2"/>
          </rPr>
          <t>Robert S Eckard:</t>
        </r>
        <r>
          <rPr>
            <sz val="10"/>
            <rFont val="Tahoma"/>
            <family val="2"/>
          </rPr>
          <t xml:space="preserve">
Assumes 30.4 days per month</t>
        </r>
      </text>
    </comment>
    <comment ref="CT12" authorId="0">
      <text>
        <r>
          <rPr>
            <b/>
            <sz val="10"/>
            <rFont val="Tahoma"/>
            <family val="2"/>
          </rPr>
          <t>Robert S Eckard:</t>
        </r>
        <r>
          <rPr>
            <sz val="10"/>
            <rFont val="Tahoma"/>
            <family val="2"/>
          </rPr>
          <t xml:space="preserve">
Assumes 30.4 days per month</t>
        </r>
      </text>
    </comment>
    <comment ref="CT13" authorId="0">
      <text>
        <r>
          <rPr>
            <b/>
            <sz val="10"/>
            <rFont val="Tahoma"/>
            <family val="2"/>
          </rPr>
          <t>Robert S Eckard:</t>
        </r>
        <r>
          <rPr>
            <sz val="10"/>
            <rFont val="Tahoma"/>
            <family val="2"/>
          </rPr>
          <t xml:space="preserve">
Assumes 30.4 days per month</t>
        </r>
      </text>
    </comment>
    <comment ref="CT14" authorId="0">
      <text>
        <r>
          <rPr>
            <b/>
            <sz val="10"/>
            <rFont val="Tahoma"/>
            <family val="2"/>
          </rPr>
          <t>Robert S Eckard:</t>
        </r>
        <r>
          <rPr>
            <sz val="10"/>
            <rFont val="Tahoma"/>
            <family val="2"/>
          </rPr>
          <t xml:space="preserve">
Assumes 30.4 days per month</t>
        </r>
      </text>
    </comment>
    <comment ref="CT15" authorId="0">
      <text>
        <r>
          <rPr>
            <b/>
            <sz val="10"/>
            <rFont val="Tahoma"/>
            <family val="2"/>
          </rPr>
          <t>Robert S Eckard:</t>
        </r>
        <r>
          <rPr>
            <sz val="10"/>
            <rFont val="Tahoma"/>
            <family val="2"/>
          </rPr>
          <t xml:space="preserve">
Assumes 30.4 days per month</t>
        </r>
      </text>
    </comment>
    <comment ref="CT16" authorId="0">
      <text>
        <r>
          <rPr>
            <b/>
            <sz val="10"/>
            <rFont val="Tahoma"/>
            <family val="2"/>
          </rPr>
          <t>Robert S Eckard:</t>
        </r>
        <r>
          <rPr>
            <sz val="10"/>
            <rFont val="Tahoma"/>
            <family val="2"/>
          </rPr>
          <t xml:space="preserve">
Assumes 30.4 days per month</t>
        </r>
      </text>
    </comment>
    <comment ref="CT17" authorId="0">
      <text>
        <r>
          <rPr>
            <b/>
            <sz val="10"/>
            <rFont val="Tahoma"/>
            <family val="2"/>
          </rPr>
          <t>Robert S Eckard:</t>
        </r>
        <r>
          <rPr>
            <sz val="10"/>
            <rFont val="Tahoma"/>
            <family val="2"/>
          </rPr>
          <t xml:space="preserve">
Assumes 30.4 days per month</t>
        </r>
      </text>
    </comment>
    <comment ref="CT18" authorId="0">
      <text>
        <r>
          <rPr>
            <b/>
            <sz val="10"/>
            <rFont val="Tahoma"/>
            <family val="2"/>
          </rPr>
          <t>Robert S Eckard:</t>
        </r>
        <r>
          <rPr>
            <sz val="10"/>
            <rFont val="Tahoma"/>
            <family val="2"/>
          </rPr>
          <t xml:space="preserve">
Assumes 30.4 days per month</t>
        </r>
      </text>
    </comment>
    <comment ref="CT19" authorId="0">
      <text>
        <r>
          <rPr>
            <b/>
            <sz val="10"/>
            <rFont val="Tahoma"/>
            <family val="2"/>
          </rPr>
          <t>Robert S Eckard:</t>
        </r>
        <r>
          <rPr>
            <sz val="10"/>
            <rFont val="Tahoma"/>
            <family val="2"/>
          </rPr>
          <t xml:space="preserve">
Assumes 30.4 days per month</t>
        </r>
      </text>
    </comment>
    <comment ref="CT20" authorId="0">
      <text>
        <r>
          <rPr>
            <b/>
            <sz val="10"/>
            <rFont val="Tahoma"/>
            <family val="2"/>
          </rPr>
          <t>Robert S Eckard:</t>
        </r>
        <r>
          <rPr>
            <sz val="10"/>
            <rFont val="Tahoma"/>
            <family val="2"/>
          </rPr>
          <t xml:space="preserve">
Assumes 30.4 days per month</t>
        </r>
      </text>
    </comment>
    <comment ref="CT21" authorId="0">
      <text>
        <r>
          <rPr>
            <b/>
            <sz val="10"/>
            <rFont val="Tahoma"/>
            <family val="2"/>
          </rPr>
          <t>Robert S Eckard:</t>
        </r>
        <r>
          <rPr>
            <sz val="10"/>
            <rFont val="Tahoma"/>
            <family val="2"/>
          </rPr>
          <t xml:space="preserve">
Assumes 30.4 days per month</t>
        </r>
      </text>
    </comment>
    <comment ref="CT22" authorId="0">
      <text>
        <r>
          <rPr>
            <b/>
            <sz val="10"/>
            <rFont val="Tahoma"/>
            <family val="2"/>
          </rPr>
          <t>Robert S Eckard:</t>
        </r>
        <r>
          <rPr>
            <sz val="10"/>
            <rFont val="Tahoma"/>
            <family val="2"/>
          </rPr>
          <t xml:space="preserve">
Assumes 30.4 days per month</t>
        </r>
      </text>
    </comment>
    <comment ref="CT23" authorId="0">
      <text>
        <r>
          <rPr>
            <b/>
            <sz val="10"/>
            <rFont val="Tahoma"/>
            <family val="2"/>
          </rPr>
          <t>Robert S Eckard:</t>
        </r>
        <r>
          <rPr>
            <sz val="10"/>
            <rFont val="Tahoma"/>
            <family val="2"/>
          </rPr>
          <t xml:space="preserve">
Assumes 30.4 days per month</t>
        </r>
      </text>
    </comment>
    <comment ref="CT24" authorId="0">
      <text>
        <r>
          <rPr>
            <b/>
            <sz val="10"/>
            <rFont val="Tahoma"/>
            <family val="2"/>
          </rPr>
          <t>Robert S Eckard:</t>
        </r>
        <r>
          <rPr>
            <sz val="10"/>
            <rFont val="Tahoma"/>
            <family val="2"/>
          </rPr>
          <t xml:space="preserve">
Assumes 30.4 days per month</t>
        </r>
      </text>
    </comment>
    <comment ref="CT25" authorId="0">
      <text>
        <r>
          <rPr>
            <b/>
            <sz val="10"/>
            <rFont val="Tahoma"/>
            <family val="2"/>
          </rPr>
          <t>Robert S Eckard:</t>
        </r>
        <r>
          <rPr>
            <sz val="10"/>
            <rFont val="Tahoma"/>
            <family val="2"/>
          </rPr>
          <t xml:space="preserve">
Assumes 30.4 days per month</t>
        </r>
      </text>
    </comment>
    <comment ref="CT26" authorId="0">
      <text>
        <r>
          <rPr>
            <b/>
            <sz val="10"/>
            <rFont val="Tahoma"/>
            <family val="2"/>
          </rPr>
          <t>Robert S Eckard:</t>
        </r>
        <r>
          <rPr>
            <sz val="10"/>
            <rFont val="Tahoma"/>
            <family val="2"/>
          </rPr>
          <t xml:space="preserve">
Assumes 30.4 days per month</t>
        </r>
      </text>
    </comment>
    <comment ref="CT27" authorId="0">
      <text>
        <r>
          <rPr>
            <b/>
            <sz val="10"/>
            <rFont val="Tahoma"/>
            <family val="2"/>
          </rPr>
          <t>Robert S Eckard:</t>
        </r>
        <r>
          <rPr>
            <sz val="10"/>
            <rFont val="Tahoma"/>
            <family val="2"/>
          </rPr>
          <t xml:space="preserve">
Assumes 30.4 days per month</t>
        </r>
      </text>
    </comment>
    <comment ref="CT28" authorId="0">
      <text>
        <r>
          <rPr>
            <b/>
            <sz val="10"/>
            <rFont val="Tahoma"/>
            <family val="2"/>
          </rPr>
          <t>Robert S Eckard:</t>
        </r>
        <r>
          <rPr>
            <sz val="10"/>
            <rFont val="Tahoma"/>
            <family val="2"/>
          </rPr>
          <t xml:space="preserve">
Assumes 30.4 days per month</t>
        </r>
      </text>
    </comment>
    <comment ref="CT29" authorId="0">
      <text>
        <r>
          <rPr>
            <b/>
            <sz val="10"/>
            <rFont val="Tahoma"/>
            <family val="2"/>
          </rPr>
          <t>Robert S Eckard:</t>
        </r>
        <r>
          <rPr>
            <sz val="10"/>
            <rFont val="Tahoma"/>
            <family val="2"/>
          </rPr>
          <t xml:space="preserve">
Assumes 30.4 days per month</t>
        </r>
      </text>
    </comment>
    <comment ref="CT30" authorId="0">
      <text>
        <r>
          <rPr>
            <b/>
            <sz val="10"/>
            <rFont val="Tahoma"/>
            <family val="2"/>
          </rPr>
          <t>Robert S Eckard:</t>
        </r>
        <r>
          <rPr>
            <sz val="10"/>
            <rFont val="Tahoma"/>
            <family val="2"/>
          </rPr>
          <t xml:space="preserve">
Assumes 30.4 days per month</t>
        </r>
      </text>
    </comment>
    <comment ref="CT31" authorId="0">
      <text>
        <r>
          <rPr>
            <b/>
            <sz val="10"/>
            <rFont val="Tahoma"/>
            <family val="2"/>
          </rPr>
          <t>Robert S Eckard:</t>
        </r>
        <r>
          <rPr>
            <sz val="10"/>
            <rFont val="Tahoma"/>
            <family val="2"/>
          </rPr>
          <t xml:space="preserve">
Assumes 30.4 days per month</t>
        </r>
      </text>
    </comment>
    <comment ref="CT32" authorId="0">
      <text>
        <r>
          <rPr>
            <b/>
            <sz val="10"/>
            <rFont val="Tahoma"/>
            <family val="2"/>
          </rPr>
          <t>Robert S Eckard:</t>
        </r>
        <r>
          <rPr>
            <sz val="10"/>
            <rFont val="Tahoma"/>
            <family val="2"/>
          </rPr>
          <t xml:space="preserve">
Assumes 30.4 days per month</t>
        </r>
      </text>
    </comment>
    <comment ref="CT33" authorId="0">
      <text>
        <r>
          <rPr>
            <b/>
            <sz val="10"/>
            <rFont val="Tahoma"/>
            <family val="2"/>
          </rPr>
          <t>Robert S Eckard:</t>
        </r>
        <r>
          <rPr>
            <sz val="10"/>
            <rFont val="Tahoma"/>
            <family val="2"/>
          </rPr>
          <t xml:space="preserve">
Assumes 30.4 days per month</t>
        </r>
      </text>
    </comment>
    <comment ref="CT34" authorId="0">
      <text>
        <r>
          <rPr>
            <b/>
            <sz val="10"/>
            <rFont val="Tahoma"/>
            <family val="2"/>
          </rPr>
          <t>Robert S Eckard:</t>
        </r>
        <r>
          <rPr>
            <sz val="10"/>
            <rFont val="Tahoma"/>
            <family val="2"/>
          </rPr>
          <t xml:space="preserve">
Assumes 30.4 days per month</t>
        </r>
      </text>
    </comment>
    <comment ref="CT35" authorId="0">
      <text>
        <r>
          <rPr>
            <b/>
            <sz val="10"/>
            <rFont val="Tahoma"/>
            <family val="2"/>
          </rPr>
          <t>Robert S Eckard:</t>
        </r>
        <r>
          <rPr>
            <sz val="10"/>
            <rFont val="Tahoma"/>
            <family val="2"/>
          </rPr>
          <t xml:space="preserve">
Assumes 30.4 days per month</t>
        </r>
      </text>
    </comment>
    <comment ref="CT36" authorId="0">
      <text>
        <r>
          <rPr>
            <b/>
            <sz val="10"/>
            <rFont val="Tahoma"/>
            <family val="2"/>
          </rPr>
          <t>Robert S Eckard:</t>
        </r>
        <r>
          <rPr>
            <sz val="10"/>
            <rFont val="Tahoma"/>
            <family val="2"/>
          </rPr>
          <t xml:space="preserve">
Assumes 30.4 days per month</t>
        </r>
      </text>
    </comment>
    <comment ref="CT37" authorId="0">
      <text>
        <r>
          <rPr>
            <b/>
            <sz val="10"/>
            <rFont val="Tahoma"/>
            <family val="2"/>
          </rPr>
          <t>Robert S Eckard:</t>
        </r>
        <r>
          <rPr>
            <sz val="10"/>
            <rFont val="Tahoma"/>
            <family val="2"/>
          </rPr>
          <t xml:space="preserve">
Assumes 30.4 days per month</t>
        </r>
      </text>
    </comment>
    <comment ref="CT38" authorId="0">
      <text>
        <r>
          <rPr>
            <b/>
            <sz val="10"/>
            <rFont val="Tahoma"/>
            <family val="2"/>
          </rPr>
          <t>Robert S Eckard:</t>
        </r>
        <r>
          <rPr>
            <sz val="10"/>
            <rFont val="Tahoma"/>
            <family val="2"/>
          </rPr>
          <t xml:space="preserve">
Assumes 30.4 days per month</t>
        </r>
      </text>
    </comment>
    <comment ref="CT39" authorId="0">
      <text>
        <r>
          <rPr>
            <b/>
            <sz val="10"/>
            <rFont val="Tahoma"/>
            <family val="2"/>
          </rPr>
          <t>Robert S Eckard:</t>
        </r>
        <r>
          <rPr>
            <sz val="10"/>
            <rFont val="Tahoma"/>
            <family val="2"/>
          </rPr>
          <t xml:space="preserve">
Assumes 30.4 days per month</t>
        </r>
      </text>
    </comment>
    <comment ref="CT40" authorId="0">
      <text>
        <r>
          <rPr>
            <b/>
            <sz val="10"/>
            <rFont val="Tahoma"/>
            <family val="2"/>
          </rPr>
          <t>Robert S Eckard:</t>
        </r>
        <r>
          <rPr>
            <sz val="10"/>
            <rFont val="Tahoma"/>
            <family val="2"/>
          </rPr>
          <t xml:space="preserve">
Assumes 30.4 days per month</t>
        </r>
      </text>
    </comment>
    <comment ref="CT41" authorId="0">
      <text>
        <r>
          <rPr>
            <b/>
            <sz val="10"/>
            <rFont val="Tahoma"/>
            <family val="2"/>
          </rPr>
          <t>Robert S Eckard:</t>
        </r>
        <r>
          <rPr>
            <sz val="10"/>
            <rFont val="Tahoma"/>
            <family val="2"/>
          </rPr>
          <t xml:space="preserve">
Assumes 30.4 days per month</t>
        </r>
      </text>
    </comment>
    <comment ref="CT42" authorId="0">
      <text>
        <r>
          <rPr>
            <b/>
            <sz val="10"/>
            <rFont val="Tahoma"/>
            <family val="2"/>
          </rPr>
          <t>Robert S Eckard:</t>
        </r>
        <r>
          <rPr>
            <sz val="10"/>
            <rFont val="Tahoma"/>
            <family val="2"/>
          </rPr>
          <t xml:space="preserve">
Assumes 30.4 days per month</t>
        </r>
      </text>
    </comment>
    <comment ref="CT43" authorId="0">
      <text>
        <r>
          <rPr>
            <b/>
            <sz val="10"/>
            <rFont val="Tahoma"/>
            <family val="2"/>
          </rPr>
          <t>Robert S Eckard:</t>
        </r>
        <r>
          <rPr>
            <sz val="10"/>
            <rFont val="Tahoma"/>
            <family val="2"/>
          </rPr>
          <t xml:space="preserve">
Assumes 30.4 days per month</t>
        </r>
      </text>
    </comment>
    <comment ref="CT44" authorId="0">
      <text>
        <r>
          <rPr>
            <b/>
            <sz val="10"/>
            <rFont val="Tahoma"/>
            <family val="2"/>
          </rPr>
          <t>Robert S Eckard:</t>
        </r>
        <r>
          <rPr>
            <sz val="10"/>
            <rFont val="Tahoma"/>
            <family val="2"/>
          </rPr>
          <t xml:space="preserve">
Assumes 30.4 days per month</t>
        </r>
      </text>
    </comment>
    <comment ref="CT45" authorId="0">
      <text>
        <r>
          <rPr>
            <b/>
            <sz val="10"/>
            <rFont val="Tahoma"/>
            <family val="2"/>
          </rPr>
          <t>Robert S Eckard:</t>
        </r>
        <r>
          <rPr>
            <sz val="10"/>
            <rFont val="Tahoma"/>
            <family val="2"/>
          </rPr>
          <t xml:space="preserve">
Assumes 30.4 days per month</t>
        </r>
      </text>
    </comment>
    <comment ref="BJ6" authorId="0">
      <text>
        <r>
          <rPr>
            <b/>
            <sz val="10"/>
            <rFont val="Tahoma"/>
            <family val="2"/>
          </rPr>
          <t>Robert S Eckard:</t>
        </r>
        <r>
          <rPr>
            <sz val="10"/>
            <rFont val="Tahoma"/>
            <family val="2"/>
          </rPr>
          <t xml:space="preserve">
Assumes 30.4 days per month</t>
        </r>
      </text>
    </comment>
    <comment ref="BJ7" authorId="0">
      <text>
        <r>
          <rPr>
            <b/>
            <sz val="10"/>
            <rFont val="Tahoma"/>
            <family val="2"/>
          </rPr>
          <t>Robert S Eckard:</t>
        </r>
        <r>
          <rPr>
            <sz val="10"/>
            <rFont val="Tahoma"/>
            <family val="2"/>
          </rPr>
          <t xml:space="preserve">
Assumes 30.4 days per month</t>
        </r>
      </text>
    </comment>
    <comment ref="BJ8" authorId="0">
      <text>
        <r>
          <rPr>
            <b/>
            <sz val="10"/>
            <rFont val="Tahoma"/>
            <family val="2"/>
          </rPr>
          <t>Robert S Eckard:</t>
        </r>
        <r>
          <rPr>
            <sz val="10"/>
            <rFont val="Tahoma"/>
            <family val="2"/>
          </rPr>
          <t xml:space="preserve">
Assumes 30.4 days per month</t>
        </r>
      </text>
    </comment>
    <comment ref="BJ9" authorId="0">
      <text>
        <r>
          <rPr>
            <b/>
            <sz val="10"/>
            <rFont val="Tahoma"/>
            <family val="2"/>
          </rPr>
          <t>Robert S Eckard:</t>
        </r>
        <r>
          <rPr>
            <sz val="10"/>
            <rFont val="Tahoma"/>
            <family val="2"/>
          </rPr>
          <t xml:space="preserve">
Assumes 30.4 days per month</t>
        </r>
      </text>
    </comment>
    <comment ref="BJ10" authorId="0">
      <text>
        <r>
          <rPr>
            <b/>
            <sz val="10"/>
            <rFont val="Tahoma"/>
            <family val="2"/>
          </rPr>
          <t>Robert S Eckard:</t>
        </r>
        <r>
          <rPr>
            <sz val="10"/>
            <rFont val="Tahoma"/>
            <family val="2"/>
          </rPr>
          <t xml:space="preserve">
Assumes 30.4 days per month</t>
        </r>
      </text>
    </comment>
    <comment ref="BJ11" authorId="0">
      <text>
        <r>
          <rPr>
            <b/>
            <sz val="10"/>
            <rFont val="Tahoma"/>
            <family val="2"/>
          </rPr>
          <t>Robert S Eckard:</t>
        </r>
        <r>
          <rPr>
            <sz val="10"/>
            <rFont val="Tahoma"/>
            <family val="2"/>
          </rPr>
          <t xml:space="preserve">
Assumes 30.4 days per month</t>
        </r>
      </text>
    </comment>
    <comment ref="BJ12" authorId="0">
      <text>
        <r>
          <rPr>
            <b/>
            <sz val="10"/>
            <rFont val="Tahoma"/>
            <family val="2"/>
          </rPr>
          <t>Robert S Eckard:</t>
        </r>
        <r>
          <rPr>
            <sz val="10"/>
            <rFont val="Tahoma"/>
            <family val="2"/>
          </rPr>
          <t xml:space="preserve">
Assumes 30.4 days per month</t>
        </r>
      </text>
    </comment>
    <comment ref="BJ13" authorId="0">
      <text>
        <r>
          <rPr>
            <b/>
            <sz val="10"/>
            <rFont val="Tahoma"/>
            <family val="2"/>
          </rPr>
          <t>Robert S Eckard:</t>
        </r>
        <r>
          <rPr>
            <sz val="10"/>
            <rFont val="Tahoma"/>
            <family val="2"/>
          </rPr>
          <t xml:space="preserve">
Assumes 30.4 days per month</t>
        </r>
      </text>
    </comment>
    <comment ref="BJ14" authorId="0">
      <text>
        <r>
          <rPr>
            <b/>
            <sz val="10"/>
            <rFont val="Tahoma"/>
            <family val="2"/>
          </rPr>
          <t>Robert S Eckard:</t>
        </r>
        <r>
          <rPr>
            <sz val="10"/>
            <rFont val="Tahoma"/>
            <family val="2"/>
          </rPr>
          <t xml:space="preserve">
Assumes 30.4 days per month</t>
        </r>
      </text>
    </comment>
    <comment ref="BJ15" authorId="0">
      <text>
        <r>
          <rPr>
            <b/>
            <sz val="10"/>
            <rFont val="Tahoma"/>
            <family val="2"/>
          </rPr>
          <t>Robert S Eckard:</t>
        </r>
        <r>
          <rPr>
            <sz val="10"/>
            <rFont val="Tahoma"/>
            <family val="2"/>
          </rPr>
          <t xml:space="preserve">
Assumes 30.4 days per month</t>
        </r>
      </text>
    </comment>
    <comment ref="BJ16" authorId="0">
      <text>
        <r>
          <rPr>
            <b/>
            <sz val="10"/>
            <rFont val="Tahoma"/>
            <family val="2"/>
          </rPr>
          <t>Robert S Eckard:</t>
        </r>
        <r>
          <rPr>
            <sz val="10"/>
            <rFont val="Tahoma"/>
            <family val="2"/>
          </rPr>
          <t xml:space="preserve">
Assumes 30.4 days per month</t>
        </r>
      </text>
    </comment>
    <comment ref="BJ17" authorId="0">
      <text>
        <r>
          <rPr>
            <b/>
            <sz val="10"/>
            <rFont val="Tahoma"/>
            <family val="2"/>
          </rPr>
          <t>Robert S Eckard:</t>
        </r>
        <r>
          <rPr>
            <sz val="10"/>
            <rFont val="Tahoma"/>
            <family val="2"/>
          </rPr>
          <t xml:space="preserve">
Assumes 30.4 days per month</t>
        </r>
      </text>
    </comment>
    <comment ref="BJ18" authorId="0">
      <text>
        <r>
          <rPr>
            <b/>
            <sz val="10"/>
            <rFont val="Tahoma"/>
            <family val="2"/>
          </rPr>
          <t>Robert S Eckard:</t>
        </r>
        <r>
          <rPr>
            <sz val="10"/>
            <rFont val="Tahoma"/>
            <family val="2"/>
          </rPr>
          <t xml:space="preserve">
Assumes 30.4 days per month</t>
        </r>
      </text>
    </comment>
    <comment ref="BJ19" authorId="0">
      <text>
        <r>
          <rPr>
            <b/>
            <sz val="10"/>
            <rFont val="Tahoma"/>
            <family val="2"/>
          </rPr>
          <t>Robert S Eckard:</t>
        </r>
        <r>
          <rPr>
            <sz val="10"/>
            <rFont val="Tahoma"/>
            <family val="2"/>
          </rPr>
          <t xml:space="preserve">
Assumes 30.4 days per month</t>
        </r>
      </text>
    </comment>
    <comment ref="BJ20" authorId="0">
      <text>
        <r>
          <rPr>
            <b/>
            <sz val="10"/>
            <rFont val="Tahoma"/>
            <family val="2"/>
          </rPr>
          <t>Robert S Eckard:</t>
        </r>
        <r>
          <rPr>
            <sz val="10"/>
            <rFont val="Tahoma"/>
            <family val="2"/>
          </rPr>
          <t xml:space="preserve">
Assumes 30.4 days per month</t>
        </r>
      </text>
    </comment>
    <comment ref="BJ21" authorId="0">
      <text>
        <r>
          <rPr>
            <b/>
            <sz val="10"/>
            <rFont val="Tahoma"/>
            <family val="2"/>
          </rPr>
          <t>Robert S Eckard:</t>
        </r>
        <r>
          <rPr>
            <sz val="10"/>
            <rFont val="Tahoma"/>
            <family val="2"/>
          </rPr>
          <t xml:space="preserve">
Assumes 30.4 days per month</t>
        </r>
      </text>
    </comment>
    <comment ref="BJ22" authorId="0">
      <text>
        <r>
          <rPr>
            <b/>
            <sz val="10"/>
            <rFont val="Tahoma"/>
            <family val="2"/>
          </rPr>
          <t>Robert S Eckard:</t>
        </r>
        <r>
          <rPr>
            <sz val="10"/>
            <rFont val="Tahoma"/>
            <family val="2"/>
          </rPr>
          <t xml:space="preserve">
Assumes 30.4 days per month</t>
        </r>
      </text>
    </comment>
    <comment ref="BJ23" authorId="0">
      <text>
        <r>
          <rPr>
            <b/>
            <sz val="10"/>
            <rFont val="Tahoma"/>
            <family val="2"/>
          </rPr>
          <t>Robert S Eckard:</t>
        </r>
        <r>
          <rPr>
            <sz val="10"/>
            <rFont val="Tahoma"/>
            <family val="2"/>
          </rPr>
          <t xml:space="preserve">
Assumes 30.4 days per month</t>
        </r>
      </text>
    </comment>
    <comment ref="BJ24" authorId="0">
      <text>
        <r>
          <rPr>
            <b/>
            <sz val="10"/>
            <rFont val="Tahoma"/>
            <family val="2"/>
          </rPr>
          <t>Robert S Eckard:</t>
        </r>
        <r>
          <rPr>
            <sz val="10"/>
            <rFont val="Tahoma"/>
            <family val="2"/>
          </rPr>
          <t xml:space="preserve">
Assumes 30.4 days per month</t>
        </r>
      </text>
    </comment>
    <comment ref="BJ25" authorId="0">
      <text>
        <r>
          <rPr>
            <b/>
            <sz val="10"/>
            <rFont val="Tahoma"/>
            <family val="2"/>
          </rPr>
          <t>Robert S Eckard:</t>
        </r>
        <r>
          <rPr>
            <sz val="10"/>
            <rFont val="Tahoma"/>
            <family val="2"/>
          </rPr>
          <t xml:space="preserve">
Assumes 30.4 days per month</t>
        </r>
      </text>
    </comment>
    <comment ref="BJ26" authorId="0">
      <text>
        <r>
          <rPr>
            <b/>
            <sz val="10"/>
            <rFont val="Tahoma"/>
            <family val="2"/>
          </rPr>
          <t>Robert S Eckard:</t>
        </r>
        <r>
          <rPr>
            <sz val="10"/>
            <rFont val="Tahoma"/>
            <family val="2"/>
          </rPr>
          <t xml:space="preserve">
Assumes 30.4 days per month</t>
        </r>
      </text>
    </comment>
    <comment ref="BJ27" authorId="0">
      <text>
        <r>
          <rPr>
            <b/>
            <sz val="10"/>
            <rFont val="Tahoma"/>
            <family val="2"/>
          </rPr>
          <t>Robert S Eckard:</t>
        </r>
        <r>
          <rPr>
            <sz val="10"/>
            <rFont val="Tahoma"/>
            <family val="2"/>
          </rPr>
          <t xml:space="preserve">
Assumes 30.4 days per month</t>
        </r>
      </text>
    </comment>
    <comment ref="BJ28" authorId="0">
      <text>
        <r>
          <rPr>
            <b/>
            <sz val="10"/>
            <rFont val="Tahoma"/>
            <family val="2"/>
          </rPr>
          <t>Robert S Eckard:</t>
        </r>
        <r>
          <rPr>
            <sz val="10"/>
            <rFont val="Tahoma"/>
            <family val="2"/>
          </rPr>
          <t xml:space="preserve">
Assumes 30.4 days per month</t>
        </r>
      </text>
    </comment>
    <comment ref="BJ29" authorId="0">
      <text>
        <r>
          <rPr>
            <b/>
            <sz val="10"/>
            <rFont val="Tahoma"/>
            <family val="2"/>
          </rPr>
          <t>Robert S Eckard:</t>
        </r>
        <r>
          <rPr>
            <sz val="10"/>
            <rFont val="Tahoma"/>
            <family val="2"/>
          </rPr>
          <t xml:space="preserve">
Assumes 30.4 days per month</t>
        </r>
      </text>
    </comment>
    <comment ref="BJ30" authorId="0">
      <text>
        <r>
          <rPr>
            <b/>
            <sz val="10"/>
            <rFont val="Tahoma"/>
            <family val="2"/>
          </rPr>
          <t>Robert S Eckard:</t>
        </r>
        <r>
          <rPr>
            <sz val="10"/>
            <rFont val="Tahoma"/>
            <family val="2"/>
          </rPr>
          <t xml:space="preserve">
Assumes 30.4 days per month</t>
        </r>
      </text>
    </comment>
    <comment ref="BJ31" authorId="0">
      <text>
        <r>
          <rPr>
            <b/>
            <sz val="10"/>
            <rFont val="Tahoma"/>
            <family val="2"/>
          </rPr>
          <t>Robert S Eckard:</t>
        </r>
        <r>
          <rPr>
            <sz val="10"/>
            <rFont val="Tahoma"/>
            <family val="2"/>
          </rPr>
          <t xml:space="preserve">
Assumes 30.4 days per month</t>
        </r>
      </text>
    </comment>
    <comment ref="BJ32" authorId="0">
      <text>
        <r>
          <rPr>
            <b/>
            <sz val="10"/>
            <rFont val="Tahoma"/>
            <family val="2"/>
          </rPr>
          <t>Robert S Eckard:</t>
        </r>
        <r>
          <rPr>
            <sz val="10"/>
            <rFont val="Tahoma"/>
            <family val="2"/>
          </rPr>
          <t xml:space="preserve">
Assumes 30.4 days per month</t>
        </r>
      </text>
    </comment>
    <comment ref="BJ33" authorId="0">
      <text>
        <r>
          <rPr>
            <b/>
            <sz val="10"/>
            <rFont val="Tahoma"/>
            <family val="2"/>
          </rPr>
          <t>Robert S Eckard:</t>
        </r>
        <r>
          <rPr>
            <sz val="10"/>
            <rFont val="Tahoma"/>
            <family val="2"/>
          </rPr>
          <t xml:space="preserve">
Assumes 30.4 days per month</t>
        </r>
      </text>
    </comment>
    <comment ref="BJ34" authorId="0">
      <text>
        <r>
          <rPr>
            <b/>
            <sz val="10"/>
            <rFont val="Tahoma"/>
            <family val="2"/>
          </rPr>
          <t>Robert S Eckard:</t>
        </r>
        <r>
          <rPr>
            <sz val="10"/>
            <rFont val="Tahoma"/>
            <family val="2"/>
          </rPr>
          <t xml:space="preserve">
Assumes 30.4 days per month</t>
        </r>
      </text>
    </comment>
    <comment ref="BJ35" authorId="0">
      <text>
        <r>
          <rPr>
            <b/>
            <sz val="10"/>
            <rFont val="Tahoma"/>
            <family val="2"/>
          </rPr>
          <t>Robert S Eckard:</t>
        </r>
        <r>
          <rPr>
            <sz val="10"/>
            <rFont val="Tahoma"/>
            <family val="2"/>
          </rPr>
          <t xml:space="preserve">
Assumes 30.4 days per month</t>
        </r>
      </text>
    </comment>
    <comment ref="BJ36" authorId="0">
      <text>
        <r>
          <rPr>
            <b/>
            <sz val="10"/>
            <rFont val="Tahoma"/>
            <family val="2"/>
          </rPr>
          <t>Robert S Eckard:</t>
        </r>
        <r>
          <rPr>
            <sz val="10"/>
            <rFont val="Tahoma"/>
            <family val="2"/>
          </rPr>
          <t xml:space="preserve">
Assumes 30.4 days per month</t>
        </r>
      </text>
    </comment>
    <comment ref="BJ37" authorId="0">
      <text>
        <r>
          <rPr>
            <b/>
            <sz val="10"/>
            <rFont val="Tahoma"/>
            <family val="2"/>
          </rPr>
          <t>Robert S Eckard:</t>
        </r>
        <r>
          <rPr>
            <sz val="10"/>
            <rFont val="Tahoma"/>
            <family val="2"/>
          </rPr>
          <t xml:space="preserve">
Assumes 30.4 days per month</t>
        </r>
      </text>
    </comment>
    <comment ref="BJ38" authorId="0">
      <text>
        <r>
          <rPr>
            <b/>
            <sz val="10"/>
            <rFont val="Tahoma"/>
            <family val="2"/>
          </rPr>
          <t>Robert S Eckard:</t>
        </r>
        <r>
          <rPr>
            <sz val="10"/>
            <rFont val="Tahoma"/>
            <family val="2"/>
          </rPr>
          <t xml:space="preserve">
Assumes 30.4 days per month</t>
        </r>
      </text>
    </comment>
    <comment ref="BJ39" authorId="0">
      <text>
        <r>
          <rPr>
            <b/>
            <sz val="10"/>
            <rFont val="Tahoma"/>
            <family val="2"/>
          </rPr>
          <t>Robert S Eckard:</t>
        </r>
        <r>
          <rPr>
            <sz val="10"/>
            <rFont val="Tahoma"/>
            <family val="2"/>
          </rPr>
          <t xml:space="preserve">
Assumes 30.4 days per month</t>
        </r>
      </text>
    </comment>
    <comment ref="BJ40" authorId="0">
      <text>
        <r>
          <rPr>
            <b/>
            <sz val="10"/>
            <rFont val="Tahoma"/>
            <family val="2"/>
          </rPr>
          <t>Robert S Eckard:</t>
        </r>
        <r>
          <rPr>
            <sz val="10"/>
            <rFont val="Tahoma"/>
            <family val="2"/>
          </rPr>
          <t xml:space="preserve">
Assumes 30.4 days per month</t>
        </r>
      </text>
    </comment>
    <comment ref="BJ41" authorId="0">
      <text>
        <r>
          <rPr>
            <b/>
            <sz val="10"/>
            <rFont val="Tahoma"/>
            <family val="2"/>
          </rPr>
          <t>Robert S Eckard:</t>
        </r>
        <r>
          <rPr>
            <sz val="10"/>
            <rFont val="Tahoma"/>
            <family val="2"/>
          </rPr>
          <t xml:space="preserve">
Assumes 30.4 days per month</t>
        </r>
      </text>
    </comment>
    <comment ref="BJ42" authorId="0">
      <text>
        <r>
          <rPr>
            <b/>
            <sz val="10"/>
            <rFont val="Tahoma"/>
            <family val="2"/>
          </rPr>
          <t>Robert S Eckard:</t>
        </r>
        <r>
          <rPr>
            <sz val="10"/>
            <rFont val="Tahoma"/>
            <family val="2"/>
          </rPr>
          <t xml:space="preserve">
Assumes 30.4 days per month</t>
        </r>
      </text>
    </comment>
    <comment ref="BJ43" authorId="0">
      <text>
        <r>
          <rPr>
            <b/>
            <sz val="10"/>
            <rFont val="Tahoma"/>
            <family val="2"/>
          </rPr>
          <t>Robert S Eckard:</t>
        </r>
        <r>
          <rPr>
            <sz val="10"/>
            <rFont val="Tahoma"/>
            <family val="2"/>
          </rPr>
          <t xml:space="preserve">
Assumes 30.4 days per month</t>
        </r>
      </text>
    </comment>
    <comment ref="BJ44" authorId="0">
      <text>
        <r>
          <rPr>
            <b/>
            <sz val="10"/>
            <rFont val="Tahoma"/>
            <family val="2"/>
          </rPr>
          <t>Robert S Eckard:</t>
        </r>
        <r>
          <rPr>
            <sz val="10"/>
            <rFont val="Tahoma"/>
            <family val="2"/>
          </rPr>
          <t xml:space="preserve">
Assumes 30.4 days per month</t>
        </r>
      </text>
    </comment>
    <comment ref="BJ45" authorId="0">
      <text>
        <r>
          <rPr>
            <b/>
            <sz val="10"/>
            <rFont val="Tahoma"/>
            <family val="2"/>
          </rPr>
          <t>Robert S Eckard:</t>
        </r>
        <r>
          <rPr>
            <sz val="10"/>
            <rFont val="Tahoma"/>
            <family val="2"/>
          </rPr>
          <t xml:space="preserve">
Assumes 30.4 days per month</t>
        </r>
      </text>
    </comment>
  </commentList>
</comments>
</file>

<file path=xl/sharedStrings.xml><?xml version="1.0" encoding="utf-8"?>
<sst xmlns="http://schemas.openxmlformats.org/spreadsheetml/2006/main" count="1726" uniqueCount="851">
  <si>
    <t>2006 (kg/yr)</t>
  </si>
  <si>
    <t>2007 (kg/yr)</t>
  </si>
  <si>
    <t>Load Grand Total (kg)</t>
  </si>
  <si>
    <t>2006-07 Avg (kg/yr)</t>
  </si>
  <si>
    <t>[kg TSS/kg coal]</t>
  </si>
  <si>
    <t>[kg Iron/kg coal]</t>
  </si>
  <si>
    <t>[kg Chloride/kg coal]</t>
  </si>
  <si>
    <t>SULFATE CALCS</t>
  </si>
  <si>
    <t>[kg Sulfate/kg coal]</t>
  </si>
  <si>
    <t>BOD CALCS</t>
  </si>
  <si>
    <t>ACIDITY CALCS</t>
  </si>
  <si>
    <t>Alkalinity, mg/L CaCO3</t>
  </si>
  <si>
    <t>[kg Acidity/kg coal]</t>
  </si>
  <si>
    <t>NOTE THAT NEGATIVE VALUES = 0 acidity.</t>
  </si>
  <si>
    <t>[kg Alkalinity/kg coal]</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</si>
  <si>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</si>
  <si>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</si>
  <si>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</si>
  <si>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</si>
  <si>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</si>
  <si>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</si>
  <si>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</si>
  <si>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</si>
  <si>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</si>
  <si>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</si>
  <si>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</si>
  <si>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</si>
  <si>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</si>
  <si>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</si>
  <si>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</si>
  <si>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</si>
  <si>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</si>
  <si>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Temporal Correlation</t>
  </si>
  <si>
    <t>less than three years of difference to year of study/current year</t>
  </si>
  <si>
    <t>less than 6 years of difference</t>
  </si>
  <si>
    <t>less than 10 years difference</t>
  </si>
  <si>
    <t>less than 15 years difference</t>
  </si>
  <si>
    <t>age of data unknown or more than 15 years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</si>
  <si>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</si>
  <si>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</si>
  <si>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</si>
  <si>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</si>
  <si>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</si>
  <si>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</si>
  <si>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</si>
  <si>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</si>
  <si>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</si>
  <si>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</si>
  <si>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</si>
  <si>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1) Calculated Score for each UP input. If more than one reference source is used for one input, and the score is lower, consider both scores. If an indicator does not relate to a specific source assume N/A. If all emissions come from one source, only one score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</si>
  <si>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</si>
  <si>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</si>
  <si>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</si>
  <si>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</si>
  <si>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4) If the change in the final result from a single unit process is greater than a threshold value, for example 0.1 g CO2e/MJ, then the processes should be flagged for possible additional data quality refinement</t>
  </si>
  <si>
    <t>* For NETL LCI&amp;C studies, because data quality for construction is typically low, sensitivity on those inputs is already performed and the DQI does not need to be calculated. If, sensitivity is not performed on construction, or sensitivity shows a particular input is significant, than the DQI will be performed</t>
  </si>
  <si>
    <t xml:space="preserve"> - for example, if emissions from the total steel inputs are found to be significant during sensitivity, the DQI will be performed on the steel profile (if possible). If not possible (because data is not-transparent/purchased), this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</si>
  <si>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</si>
  <si>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</si>
  <si>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Input/Output</t>
  </si>
  <si>
    <t>Source Reliability</t>
  </si>
  <si>
    <t>Technical Correlation</t>
  </si>
  <si>
    <t>DQI</t>
  </si>
  <si>
    <t>Recommendations</t>
  </si>
  <si>
    <t>Determinations</t>
  </si>
  <si>
    <t>Total UP ( unaltered)</t>
  </si>
  <si>
    <t>Total UP (final)</t>
  </si>
  <si>
    <t>Diesel Fuel</t>
  </si>
  <si>
    <t>2,2,2,1,1</t>
  </si>
  <si>
    <t>2,2,1,1,1</t>
  </si>
  <si>
    <t>CO2, CH4, N2O</t>
  </si>
  <si>
    <t>VOC, NOX, PM, CO</t>
  </si>
  <si>
    <t>1,1,1,1,1</t>
  </si>
  <si>
    <t>Water Emissions</t>
  </si>
  <si>
    <t>2,2,3,3,2</t>
  </si>
  <si>
    <t>2,3,5,2,2</t>
  </si>
  <si>
    <t>2,2,2,1,2</t>
  </si>
  <si>
    <t>Best available data, check for significance</t>
  </si>
  <si>
    <t>2,3,5,3,2</t>
  </si>
  <si>
    <t>2,2,3,2,2</t>
  </si>
  <si>
    <t>Year Data Represents</t>
  </si>
  <si>
    <t>Geographical Representation</t>
  </si>
  <si>
    <t>Representativeness</t>
  </si>
  <si>
    <t>BibliographicText</t>
  </si>
  <si>
    <t>Text/Description</t>
  </si>
  <si>
    <t>Data Type (Origin)</t>
  </si>
  <si>
    <t>Source Type</t>
  </si>
  <si>
    <t>Measurement on Site</t>
  </si>
  <si>
    <t>Personal Written Communication</t>
  </si>
  <si>
    <t>Questionnaires</t>
  </si>
  <si>
    <t>Reference Source Info Lists</t>
  </si>
  <si>
    <t>References</t>
  </si>
  <si>
    <t>End of List</t>
  </si>
  <si>
    <t>Comments</t>
  </si>
  <si>
    <t xml:space="preserve">&lt;select this entire row, then insert new row&gt; </t>
  </si>
  <si>
    <t>of</t>
  </si>
  <si>
    <t>&lt;select this entire row, then insert new row&gt;</t>
  </si>
  <si>
    <t>Units per RF</t>
  </si>
  <si>
    <t>Total</t>
  </si>
  <si>
    <t>Amount</t>
  </si>
  <si>
    <t>NETL Life Cycle Inventory Data  - Detailed Spreadsheet Documentation</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</si>
  <si>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</si>
  <si>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</si>
  <si>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</si>
  <si>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</si>
  <si>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</si>
  <si>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</si>
  <si>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</si>
  <si>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</si>
  <si>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</si>
  <si>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</si>
  <si>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</si>
  <si>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</si>
  <si>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</si>
  <si>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</si>
  <si>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</si>
  <si>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</si>
  <si>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</si>
  <si>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</si>
  <si>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</si>
  <si>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</si>
  <si>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Factor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</si>
  <si>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</si>
  <si>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</si>
  <si>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</si>
  <si>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</si>
  <si>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</si>
  <si>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</si>
  <si>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</si>
  <si>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</si>
  <si>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</si>
  <si>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</si>
  <si>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</si>
  <si>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</si>
  <si>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</si>
  <si>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</si>
  <si>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</si>
  <si>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</si>
  <si>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</si>
  <si>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</si>
  <si>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</si>
  <si>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</si>
  <si>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</si>
  <si>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</si>
  <si>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</si>
  <si>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</si>
  <si>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</si>
  <si>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</si>
  <si>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</si>
  <si>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</si>
  <si>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Undefined</t>
  </si>
  <si>
    <t>Article</t>
  </si>
  <si>
    <t>Chapters in Anthology</t>
  </si>
  <si>
    <t>Oral Communication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</si>
  <si>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</si>
  <si>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</si>
  <si>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</si>
  <si>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</si>
  <si>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</si>
  <si>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</si>
  <si>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</si>
  <si>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</si>
  <si>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</si>
  <si>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</si>
  <si>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</si>
  <si>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</si>
  <si>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</si>
  <si>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</si>
  <si>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</si>
  <si>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</si>
  <si>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</si>
  <si>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</si>
  <si>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</si>
  <si>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</si>
  <si>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</si>
  <si>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</si>
  <si>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</si>
  <si>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</si>
  <si>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</si>
  <si>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</si>
  <si>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</si>
  <si>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2005</t>
  </si>
  <si>
    <t>2004</t>
  </si>
  <si>
    <t>Energy Information Administration</t>
  </si>
  <si>
    <t>Annual Coal Report</t>
  </si>
  <si>
    <t>US</t>
  </si>
  <si>
    <t>No</t>
  </si>
  <si>
    <t>Electricity</t>
  </si>
  <si>
    <t>kWh</t>
  </si>
  <si>
    <t>Coal</t>
  </si>
  <si>
    <t>kg</t>
  </si>
  <si>
    <t>Source/Comments</t>
  </si>
  <si>
    <t>Annual Data for Bituminous Coal Underground Mining (including preparation)</t>
  </si>
  <si>
    <t>Fuels Consumed</t>
  </si>
  <si>
    <t>Coal (produced and subsequently consumed)</t>
  </si>
  <si>
    <t>tons</t>
  </si>
  <si>
    <t>Census Data for Bituminous Coal Underground Mining</t>
  </si>
  <si>
    <t>Distillate (light) grade numbers 1,2,4, and light diesel fuel</t>
  </si>
  <si>
    <t>bbl</t>
  </si>
  <si>
    <t>Residual (heavy) grade numbers 5 and 6 and heavy diesel fuel</t>
  </si>
  <si>
    <t>Gas (natural, manufactured, and mixed)</t>
  </si>
  <si>
    <t>MMcf</t>
  </si>
  <si>
    <t>Gasoline</t>
  </si>
  <si>
    <t>gallons</t>
  </si>
  <si>
    <t>Purchased electricity</t>
  </si>
  <si>
    <t>Other parameters</t>
  </si>
  <si>
    <t>Total quantity of bituminous coal shipped</t>
  </si>
  <si>
    <t>Fuels Energy Content</t>
  </si>
  <si>
    <t>Fuel Type</t>
  </si>
  <si>
    <t>Energy Content</t>
  </si>
  <si>
    <t>Distillate</t>
  </si>
  <si>
    <t>Residual Fuel Oil</t>
  </si>
  <si>
    <t>Natural Gas</t>
  </si>
  <si>
    <t>Water Use</t>
  </si>
  <si>
    <t>Coal Production</t>
  </si>
  <si>
    <t>Water use</t>
  </si>
  <si>
    <t>(gal/day)</t>
  </si>
  <si>
    <t>Tons/yr</t>
  </si>
  <si>
    <t>(L/kg)</t>
  </si>
  <si>
    <t>Galatia</t>
  </si>
  <si>
    <t>PA 2000</t>
  </si>
  <si>
    <t>STATE</t>
  </si>
  <si>
    <t>STATEFIPS</t>
  </si>
  <si>
    <t>COUNTYFIPS</t>
  </si>
  <si>
    <t>FIPS</t>
  </si>
  <si>
    <t>TP-TotPop</t>
  </si>
  <si>
    <t>PS-TOPop</t>
  </si>
  <si>
    <t>PS-WGWFr</t>
  </si>
  <si>
    <t>PS-WSWFr</t>
  </si>
  <si>
    <t>PS-WFrTo</t>
  </si>
  <si>
    <t>DO-SSPop</t>
  </si>
  <si>
    <t>DO-WGWFr</t>
  </si>
  <si>
    <t>DO-WSWFr</t>
  </si>
  <si>
    <t>DO-WFrTo</t>
  </si>
  <si>
    <t>IN-WGWFr</t>
  </si>
  <si>
    <t>IN-WGWSa</t>
  </si>
  <si>
    <t>IN-WGWTo</t>
  </si>
  <si>
    <t>IN-WSWFr</t>
  </si>
  <si>
    <t>IN-WSWSa</t>
  </si>
  <si>
    <t>IN-WSWTo</t>
  </si>
  <si>
    <t>IN-WFrTo</t>
  </si>
  <si>
    <t>IN-WSaTo</t>
  </si>
  <si>
    <t>IN-Wtotl</t>
  </si>
  <si>
    <t>IT-IrSpr</t>
  </si>
  <si>
    <t>IT-IrMic</t>
  </si>
  <si>
    <t>IT-IrSur</t>
  </si>
  <si>
    <t>IT-IrTot</t>
  </si>
  <si>
    <t>IT-WGWFr</t>
  </si>
  <si>
    <t>IT-WSWFr</t>
  </si>
  <si>
    <t>IT-WFrTo</t>
  </si>
  <si>
    <t>LA-WGWFr</t>
  </si>
  <si>
    <t>LA-WSWFr</t>
  </si>
  <si>
    <t>LA-WFrTo</t>
  </si>
  <si>
    <t>LS-WGWFr</t>
  </si>
  <si>
    <t>LS-WSWFr</t>
  </si>
  <si>
    <t>LS-WFrTo</t>
  </si>
  <si>
    <t>MI-WGWFr</t>
  </si>
  <si>
    <t>MI-WGWSa</t>
  </si>
  <si>
    <t>MI-WGWTo</t>
  </si>
  <si>
    <t>MI-WSWFr</t>
  </si>
  <si>
    <t>MI-WSWSa</t>
  </si>
  <si>
    <t>MI-WSWTo</t>
  </si>
  <si>
    <t>MI-WFrTo</t>
  </si>
  <si>
    <t>MI-WSaTo</t>
  </si>
  <si>
    <t>MI-Wtotl</t>
  </si>
  <si>
    <t>PT-WGWFr</t>
  </si>
  <si>
    <t>PT-WSWFr</t>
  </si>
  <si>
    <t>PT-WSWSa</t>
  </si>
  <si>
    <t>PT-WSWTo</t>
  </si>
  <si>
    <t>PT-WFrTo</t>
  </si>
  <si>
    <t>PT-WSaTo</t>
  </si>
  <si>
    <t>PT-Wtotl</t>
  </si>
  <si>
    <t>PO-WSWFr</t>
  </si>
  <si>
    <t>PO-WSWSa</t>
  </si>
  <si>
    <t>PO-WSWTo</t>
  </si>
  <si>
    <t>PE-WGWFr</t>
  </si>
  <si>
    <t>PE-WSWFr</t>
  </si>
  <si>
    <t>PE-WSWSa</t>
  </si>
  <si>
    <t>PE-WSWTo</t>
  </si>
  <si>
    <t>PE-WFrTo</t>
  </si>
  <si>
    <t>PE-WSaTo</t>
  </si>
  <si>
    <t>PE-Wtotl</t>
  </si>
  <si>
    <t>TO-WGWFr</t>
  </si>
  <si>
    <t>TO-WGWSa</t>
  </si>
  <si>
    <t>TO-WGWTo</t>
  </si>
  <si>
    <t>TO-WSWFr</t>
  </si>
  <si>
    <t>TO-WSWSa</t>
  </si>
  <si>
    <t>TO-WSWTo</t>
  </si>
  <si>
    <t>TO-WFrTo</t>
  </si>
  <si>
    <t>TO-WSaTo</t>
  </si>
  <si>
    <t>TO-WTotl</t>
  </si>
  <si>
    <t>PA</t>
  </si>
  <si>
    <t>42</t>
  </si>
  <si>
    <t>001</t>
  </si>
  <si>
    <t>003</t>
  </si>
  <si>
    <t>005</t>
  </si>
  <si>
    <t>059</t>
  </si>
  <si>
    <t>42059</t>
  </si>
  <si>
    <t>USGS Estimated Use of Water in the United States, County-Level Data for 2000</t>
  </si>
  <si>
    <t>L</t>
  </si>
  <si>
    <t>Estimated Specific Methane Emissions, cubic feet CH4 per short ton of produced coal</t>
  </si>
  <si>
    <t>average</t>
  </si>
  <si>
    <t>std deviation</t>
  </si>
  <si>
    <t>Galatia Mine Coal Production</t>
  </si>
  <si>
    <t>Average</t>
  </si>
  <si>
    <t xml:space="preserve">Discharge </t>
  </si>
  <si>
    <t>calculated</t>
  </si>
  <si>
    <t>FLOW, MGD</t>
  </si>
  <si>
    <t>Averages Reported Only</t>
  </si>
  <si>
    <t>FLOW,  L per day</t>
  </si>
  <si>
    <t>TSS, mg/L</t>
  </si>
  <si>
    <t>TSS</t>
  </si>
  <si>
    <t>Total Iron, mg/L</t>
  </si>
  <si>
    <t>Total Iron</t>
  </si>
  <si>
    <t>Alkalinity</t>
  </si>
  <si>
    <t>Acidity, mg/L</t>
  </si>
  <si>
    <t>Acidity</t>
  </si>
  <si>
    <t>pH</t>
  </si>
  <si>
    <t>Chloride</t>
  </si>
  <si>
    <t>Sulfate</t>
  </si>
  <si>
    <t>BOD (5-day), mg/L</t>
  </si>
  <si>
    <t>BOD</t>
  </si>
  <si>
    <t>Discharge Type</t>
  </si>
  <si>
    <t>alkaline mine drainage</t>
  </si>
  <si>
    <t>acid mine drainage</t>
  </si>
  <si>
    <t>sanitary discharge</t>
  </si>
  <si>
    <t>Mine Drainage</t>
  </si>
  <si>
    <t>Sanitary Discharge</t>
  </si>
  <si>
    <t>N/A</t>
  </si>
  <si>
    <t>Total Flow L per Day</t>
  </si>
  <si>
    <t>Total Mass (Load)</t>
  </si>
  <si>
    <t>Month</t>
  </si>
  <si>
    <t>002</t>
  </si>
  <si>
    <t>002A</t>
  </si>
  <si>
    <t>004</t>
  </si>
  <si>
    <t>005A</t>
  </si>
  <si>
    <t>kg/month</t>
  </si>
  <si>
    <t>kg/Month</t>
  </si>
  <si>
    <t>UNITS?</t>
  </si>
  <si>
    <t>feb</t>
  </si>
  <si>
    <t>mar</t>
  </si>
  <si>
    <t>apr</t>
  </si>
  <si>
    <t>nov</t>
  </si>
  <si>
    <t>dec</t>
  </si>
  <si>
    <t>jan</t>
  </si>
  <si>
    <t>aug</t>
  </si>
  <si>
    <t>sep</t>
  </si>
  <si>
    <t>oct</t>
  </si>
  <si>
    <t>may</t>
  </si>
  <si>
    <t>jun</t>
  </si>
  <si>
    <t>jul</t>
  </si>
  <si>
    <t>FLOW CALCS</t>
  </si>
  <si>
    <t>TSS CALCS</t>
  </si>
  <si>
    <t>IRON CALCS</t>
  </si>
  <si>
    <t>ALKALINITY CALCS</t>
  </si>
  <si>
    <t>Chloride CALCS</t>
  </si>
  <si>
    <t>[calcs]</t>
  </si>
  <si>
    <t>Data Points</t>
  </si>
  <si>
    <t>Average (kg/month)</t>
  </si>
  <si>
    <t>Jan</t>
  </si>
  <si>
    <t>Feb</t>
  </si>
  <si>
    <t>Mar</t>
  </si>
  <si>
    <t>Apr</t>
  </si>
  <si>
    <t>May</t>
  </si>
  <si>
    <t>Jun</t>
  </si>
  <si>
    <t>Jul</t>
  </si>
  <si>
    <t>Aug</t>
  </si>
  <si>
    <t>Sep</t>
  </si>
  <si>
    <t>Oct</t>
  </si>
  <si>
    <t>Nov</t>
  </si>
  <si>
    <t>Dec</t>
  </si>
  <si>
    <t>Per ton Coal Extracted</t>
  </si>
  <si>
    <t>Mine Drainage Flows by Category</t>
  </si>
  <si>
    <t>mine drainage</t>
  </si>
  <si>
    <t>2005-2007</t>
  </si>
  <si>
    <t>PM amount</t>
  </si>
  <si>
    <t>TON</t>
  </si>
  <si>
    <t>TOTAL:</t>
  </si>
  <si>
    <t>short tons</t>
  </si>
  <si>
    <t>Avg Hg concentration in diesel fuel (ng/g)</t>
  </si>
  <si>
    <t>no. samples</t>
  </si>
  <si>
    <t>average*</t>
  </si>
  <si>
    <t>*average weighted by number of samples</t>
  </si>
  <si>
    <t>kg ammonia/1000 L diesel</t>
  </si>
  <si>
    <t>Census Data for Bituminous Coal from Underground Mining (Includes Mining and Cleaning)</t>
  </si>
  <si>
    <t>kWh/kg coal</t>
  </si>
  <si>
    <t>Electricity Demand for Mine and Prep Plant:</t>
  </si>
  <si>
    <t>Record Type</t>
  </si>
  <si>
    <t>StateCounty FIPS</t>
  </si>
  <si>
    <t>State Facility Identifier</t>
  </si>
  <si>
    <t>Emission Unit ID</t>
  </si>
  <si>
    <t>Process ID</t>
  </si>
  <si>
    <t>Pollutant Code</t>
  </si>
  <si>
    <t>Blank Field</t>
  </si>
  <si>
    <t>Emission Release Point ID</t>
  </si>
  <si>
    <t>Start Date</t>
  </si>
  <si>
    <t>End Date</t>
  </si>
  <si>
    <t>Start Time</t>
  </si>
  <si>
    <t>End Time</t>
  </si>
  <si>
    <t>Emission Numeric Value</t>
  </si>
  <si>
    <t>Emission Unit Numerator</t>
  </si>
  <si>
    <t>Emission Type</t>
  </si>
  <si>
    <t>EM Reliability Indicator</t>
  </si>
  <si>
    <t>Factor Numeric Value</t>
  </si>
  <si>
    <t>Factor Unit Numerator</t>
  </si>
  <si>
    <t>Factor Unit Denominator</t>
  </si>
  <si>
    <t>Material</t>
  </si>
  <si>
    <t>Material IO</t>
  </si>
  <si>
    <t>Emission Calculation Method</t>
  </si>
  <si>
    <t>EF Reliability Indicator</t>
  </si>
  <si>
    <t>Rule Effectiveness</t>
  </si>
  <si>
    <t>Effectiveness Method</t>
  </si>
  <si>
    <t>strBlankField4</t>
  </si>
  <si>
    <t>HAP Emiss Performance Level</t>
  </si>
  <si>
    <t>Control Status</t>
  </si>
  <si>
    <t>Emission Data Level</t>
  </si>
  <si>
    <t>Submittal Flag</t>
  </si>
  <si>
    <t>Tribal code</t>
  </si>
  <si>
    <t>EM</t>
  </si>
  <si>
    <t>17165</t>
  </si>
  <si>
    <t>165804AAA</t>
  </si>
  <si>
    <t>0001</t>
  </si>
  <si>
    <t>01</t>
  </si>
  <si>
    <t>PM10-PRI</t>
  </si>
  <si>
    <t/>
  </si>
  <si>
    <t>30</t>
  </si>
  <si>
    <t>08</t>
  </si>
  <si>
    <t>CONTROLLED</t>
  </si>
  <si>
    <t>A</t>
  </si>
  <si>
    <t>000</t>
  </si>
  <si>
    <t>0005</t>
  </si>
  <si>
    <t>PM-PRI</t>
  </si>
  <si>
    <t>0004</t>
  </si>
  <si>
    <t>0003</t>
  </si>
  <si>
    <t>0002</t>
  </si>
  <si>
    <t>USA</t>
  </si>
  <si>
    <t>Galatia Reported Emissions for 2005:</t>
  </si>
  <si>
    <t>Diesel Use</t>
  </si>
  <si>
    <t>gallon/kg coal shipped</t>
  </si>
  <si>
    <t>L/kg coal shipped</t>
  </si>
  <si>
    <t>Coal_In</t>
  </si>
  <si>
    <t>Mine_Prep_PM</t>
  </si>
  <si>
    <t>Coal_in</t>
  </si>
  <si>
    <t>PM Emissions</t>
  </si>
  <si>
    <t>kg dust/kg coal produced</t>
  </si>
  <si>
    <t xml:space="preserve">Since Galatia mine reports only PM emissions from mining operations to EPA, it is assumed that there is no on-site generating capability other than diesel generators.  Coal, residual oil, and gas are used primarily in on-site combustion activities and thus those emissions should have been reported--if any existed.  </t>
  </si>
  <si>
    <t>Since the uses of diesel at the mine are unspecified, estimates must be made to determine emissions associated with its use.  Diesel use during the study period will be solely ULSD (15 ppm sulfur).  Mining equipment falls under the category of non-road diesel use. Emissions are assumed to comply with EPA Tier 4 emissions standards.</t>
  </si>
  <si>
    <t>kg SO2/gal diesel</t>
  </si>
  <si>
    <t>g/bhp-hr</t>
  </si>
  <si>
    <t>bhp-hr/gal</t>
  </si>
  <si>
    <t>PM</t>
  </si>
  <si>
    <t>CO</t>
  </si>
  <si>
    <t xml:space="preserve">NOx </t>
  </si>
  <si>
    <t>Emission Factor</t>
  </si>
  <si>
    <t>Emission Factors</t>
  </si>
  <si>
    <t>Reference</t>
  </si>
  <si>
    <r>
      <t>kg CO</t>
    </r>
    <r>
      <rPr>
        <vertAlign val="subscript"/>
        <sz val="10"/>
        <rFont val="Arial"/>
        <family val="2"/>
      </rPr>
      <t>2</t>
    </r>
    <r>
      <rPr>
        <sz val="10"/>
        <rFont val="Arial"/>
        <family val="2"/>
      </rPr>
      <t>/MMBtu HHV</t>
    </r>
  </si>
  <si>
    <r>
      <t>CO</t>
    </r>
    <r>
      <rPr>
        <vertAlign val="subscript"/>
        <sz val="10"/>
        <rFont val="Arial"/>
        <family val="2"/>
      </rPr>
      <t>2</t>
    </r>
  </si>
  <si>
    <r>
      <t>CH</t>
    </r>
    <r>
      <rPr>
        <vertAlign val="subscript"/>
        <sz val="10"/>
        <rFont val="Arial"/>
        <family val="2"/>
      </rPr>
      <t>4</t>
    </r>
  </si>
  <si>
    <r>
      <t>N</t>
    </r>
    <r>
      <rPr>
        <vertAlign val="subscript"/>
        <sz val="10"/>
        <rFont val="Arial"/>
        <family val="2"/>
      </rPr>
      <t>2</t>
    </r>
    <r>
      <rPr>
        <sz val="10"/>
        <rFont val="Arial"/>
        <family val="2"/>
      </rPr>
      <t>O</t>
    </r>
  </si>
  <si>
    <t>Ammonia</t>
  </si>
  <si>
    <r>
      <t>SO</t>
    </r>
    <r>
      <rPr>
        <vertAlign val="subscript"/>
        <sz val="10"/>
        <color indexed="8"/>
        <rFont val="Arial"/>
        <family val="2"/>
      </rPr>
      <t>2</t>
    </r>
  </si>
  <si>
    <t>Pollutant</t>
  </si>
  <si>
    <t>Mercury</t>
  </si>
  <si>
    <t>VOC (NMHC)</t>
  </si>
  <si>
    <t>g/kW-hr</t>
  </si>
  <si>
    <t>Mercury:</t>
  </si>
  <si>
    <t>NH3 (ammonia):</t>
  </si>
  <si>
    <t>ng Hg/g diesel</t>
  </si>
  <si>
    <t xml:space="preserve">Energy consumption factor: </t>
  </si>
  <si>
    <t>=</t>
  </si>
  <si>
    <t>kW-hr/gal</t>
  </si>
  <si>
    <t>Emissions</t>
  </si>
  <si>
    <t>kg/kg coal shipped</t>
  </si>
  <si>
    <t>1 horsepower [international] = 0.745 699 87 kilowatt</t>
  </si>
  <si>
    <t>g/gallon diesel</t>
  </si>
  <si>
    <t>Form EIA-1605 Long Form for Voluntary Reporting of Greenhouse Gases: Instructions</t>
  </si>
  <si>
    <t>US Department of Energy</t>
  </si>
  <si>
    <t>2006</t>
  </si>
  <si>
    <t>March, 2006; referenced table last revised June 24, 2008</t>
  </si>
  <si>
    <t>Appendix H</t>
  </si>
  <si>
    <t>Appendix H, Table 2.</t>
  </si>
  <si>
    <t>OMB No. 1905-0194</t>
  </si>
  <si>
    <t>US Average</t>
  </si>
  <si>
    <t>US Department of Energy. 2006. Form EIA-1605 Long Form for Voluntary Reporting of Greenhouse Gases: Instructions. Appendix H: Fuel Emissions Factors. March, 2006. OMB No. 1905-0194</t>
  </si>
  <si>
    <t>Appendix H of the report noted above is an excel sheet containing fuel emissions factors for various fuels and air pollutants.</t>
  </si>
  <si>
    <t>Estimate of mercury emission from gasoline and diesel fuel consumption, San Francisco Bay area, California.</t>
  </si>
  <si>
    <t>Development and Selection of Ammonia Emission Factors, Final Report</t>
  </si>
  <si>
    <t>Conaway, C H</t>
  </si>
  <si>
    <t>Battye, R</t>
  </si>
  <si>
    <t>Mason, R P; Steding, D J; Flegal, A R</t>
  </si>
  <si>
    <t>Battye W, Overcash C, Fudge S</t>
  </si>
  <si>
    <t>1994</t>
  </si>
  <si>
    <t>august, 1994</t>
  </si>
  <si>
    <t>Elsevier/Science Direct</t>
  </si>
  <si>
    <t>Washington, DC</t>
  </si>
  <si>
    <t>USEPA</t>
  </si>
  <si>
    <t>101-105</t>
  </si>
  <si>
    <t>Atmospheric Environment</t>
  </si>
  <si>
    <t>39</t>
  </si>
  <si>
    <t xml:space="preserve">US </t>
  </si>
  <si>
    <t>Reference [7] page 74 table 5-6</t>
  </si>
  <si>
    <t>Reference [6] page 104</t>
  </si>
  <si>
    <t>Reference [6] Table 2 page 104</t>
  </si>
  <si>
    <t>Diesel_CH4_Em</t>
  </si>
  <si>
    <t>Tot_CH4</t>
  </si>
  <si>
    <t>Diesel_PM_Em</t>
  </si>
  <si>
    <t>Tot_PM</t>
  </si>
  <si>
    <t>Mine_Prep_PM+Diesel_PM_Em</t>
  </si>
  <si>
    <t>Water Discharge</t>
  </si>
  <si>
    <t>National Emission Inventory - Galatia Mine, IL</t>
  </si>
  <si>
    <t>Internet</t>
  </si>
  <si>
    <t>Galatia, IL</t>
  </si>
  <si>
    <t>entire mine</t>
  </si>
  <si>
    <t>database</t>
  </si>
  <si>
    <t>Identifying Opportunities for Methane Recovery at U.S. Coal Mines: Profiles of Selected Gassy Underground Coal Mines 2002-2006.</t>
  </si>
  <si>
    <t>U.S. EPA</t>
  </si>
  <si>
    <t>2008</t>
  </si>
  <si>
    <t>Mine average</t>
  </si>
  <si>
    <t>Galatia Mine NPDES Permit Required Reports</t>
  </si>
  <si>
    <t>Galatia Mine</t>
  </si>
  <si>
    <t>2005-2008</t>
  </si>
  <si>
    <t>Galatia Mine, Illinois, USA</t>
  </si>
  <si>
    <t>Complete for the mine</t>
  </si>
  <si>
    <t>Galatia Mine Personnel Communication</t>
  </si>
  <si>
    <t>Personal Communication</t>
  </si>
  <si>
    <t>n/a</t>
  </si>
  <si>
    <t>Compendium of Greenhouse Gas Emissions Methodologies in the Oil and Gas Industry</t>
  </si>
  <si>
    <t>American Petroleum Institute</t>
  </si>
  <si>
    <t>API_2004_COMPENDIUM</t>
  </si>
  <si>
    <t>1998</t>
  </si>
  <si>
    <t>Table 3-5, page 3-16 (PDF page 59)</t>
  </si>
  <si>
    <t>2, 9</t>
  </si>
  <si>
    <t>The Illinois Coal Industry</t>
  </si>
  <si>
    <t>Illinois Department of Commerce and Economic Opportunity</t>
  </si>
  <si>
    <t>June, 2008</t>
  </si>
  <si>
    <t>23</t>
  </si>
  <si>
    <t>Table 2</t>
  </si>
  <si>
    <t>2003-2007</t>
  </si>
  <si>
    <t>Illinois, USA</t>
  </si>
  <si>
    <t>Water Usage Estimates and Comparisons:</t>
  </si>
  <si>
    <t>Bituminous Coal Underground Mining: 2002</t>
  </si>
  <si>
    <t>U.S. Census Bureau</t>
  </si>
  <si>
    <t>December</t>
  </si>
  <si>
    <t>US Department of Commerce</t>
  </si>
  <si>
    <t>2002</t>
  </si>
  <si>
    <t>National totals</t>
  </si>
  <si>
    <t>40 CFR Parts 9, 69, et al.  Control of Emissions of Air Pollution From Nonroad Diesel Engines and Fuel; Final Rule</t>
  </si>
  <si>
    <t>June 29, 2004</t>
  </si>
  <si>
    <t>Federal Register</t>
  </si>
  <si>
    <t>69</t>
  </si>
  <si>
    <t>124</t>
  </si>
  <si>
    <t>US Regulations</t>
  </si>
  <si>
    <t>Water Use and Sustainable Development in Coal Mining - A Case Study from Central Queensland</t>
  </si>
  <si>
    <t>Evans, R.</t>
  </si>
  <si>
    <t>Roe, P., Joy, J.</t>
  </si>
  <si>
    <t>2003</t>
  </si>
  <si>
    <t>Australia</t>
  </si>
  <si>
    <r>
      <t xml:space="preserve">Evans, R., P. Roe, J. Joy.  2003.  </t>
    </r>
    <r>
      <rPr>
        <i/>
        <sz val="10"/>
        <rFont val="Arial"/>
        <family val="2"/>
      </rPr>
      <t>Water Use and Sustainable Development in Coal Mining - A Case Study  from Central Queensland</t>
    </r>
    <r>
      <rPr>
        <sz val="10"/>
        <rFont val="Arial"/>
        <family val="2"/>
      </rPr>
      <t>.  Brisbane, Australia: Presentation at Mineral Council of Australia's Sustainable Development 03 Conference.  http://www.bowenbasin.cqu.edu.au/pdfs/waterusesota.pdf (accessed March 18, 2009).</t>
    </r>
  </si>
  <si>
    <t>2009</t>
  </si>
  <si>
    <t>March 13, 2009</t>
  </si>
  <si>
    <t>Conversation between Robert Eckard of RDS/NETL and Mark Mormino, chief engineer at the Galatia Mine, Saline County, IL</t>
  </si>
  <si>
    <t>Annex 6 Additional Information</t>
  </si>
  <si>
    <t>2007</t>
  </si>
  <si>
    <t>Multi-Pollutant Emissions Benefits of Transportation Strategies</t>
  </si>
  <si>
    <t>Federal Highway Administration</t>
  </si>
  <si>
    <t>US Department of Transportation</t>
  </si>
  <si>
    <t>November 14, 2006</t>
  </si>
  <si>
    <t>Section 6.27</t>
  </si>
  <si>
    <t>Subheading: Repowering a 1987 Locomotive</t>
  </si>
  <si>
    <t>FHWA-HEP-07-004</t>
  </si>
  <si>
    <t>Federal Highway Administration. 2006. Multi-Pollutant Emissions Benefits of Transportation Strategies. November 14, 2006. Doc. No. FHWA-HEP-07-004</t>
  </si>
  <si>
    <t>Referenced subsection indicates approved methodology for converting emissions factors from g/bhp-hr to g/gallon</t>
  </si>
  <si>
    <t>[L/day]</t>
  </si>
  <si>
    <t>Average Daily Flow in</t>
  </si>
  <si>
    <t xml:space="preserve">Average Annual Flow </t>
  </si>
  <si>
    <t>[L]</t>
  </si>
  <si>
    <t>[L/kg coal]</t>
  </si>
  <si>
    <t>Estimated Use of Water in the United States: County-Level Data for 2000</t>
  </si>
  <si>
    <t>USGS</t>
  </si>
  <si>
    <t>2000</t>
  </si>
  <si>
    <t>Coal Industry Annual 2000</t>
  </si>
  <si>
    <t>Washington, DC/Internet</t>
  </si>
  <si>
    <t>US DOE</t>
  </si>
  <si>
    <t>National Totals</t>
  </si>
  <si>
    <t>Galatia mine operates 24 hrs per day 7 days per week</t>
  </si>
  <si>
    <t>Reference Flow</t>
  </si>
  <si>
    <t>Calculations</t>
  </si>
  <si>
    <t>Excerpt from Reference [2] showing EPA Calculation Procedure/Assumptions:</t>
  </si>
  <si>
    <t>Illinois</t>
  </si>
  <si>
    <t>Reference [11]</t>
  </si>
  <si>
    <t>Assumptions</t>
  </si>
  <si>
    <t>Assumption #</t>
  </si>
  <si>
    <t>Description</t>
  </si>
  <si>
    <t>Diesel Emissions</t>
  </si>
  <si>
    <t>Diesel Use was estimated for underground mining operations and associated cleaning facilities using 2002 Census data</t>
  </si>
  <si>
    <t>See Worksheet, 'Census Data'</t>
  </si>
  <si>
    <t>Reference [5]; Fuel Emissions Factors Table 7 Assume diesel-powered construction equipment as a surrogate</t>
  </si>
  <si>
    <t>Reference [5]; Fuel Emissions Factors Table 1</t>
  </si>
  <si>
    <t xml:space="preserve">Reference [12]; Emissions Factor for NOx: g/bhp-hr; TIER 4 Emissions Assumed// page 38971 </t>
  </si>
  <si>
    <t>Reference [12]; Emissions Factor for PM: g/bhp-hr; TIER 4 Emissions Assumed// page 38971</t>
  </si>
  <si>
    <t xml:space="preserve">Reference [12]; Emissions Factor for VOC: g/bhp-hr; TIER 4 Emissions Assumed// page 38971 </t>
  </si>
  <si>
    <t xml:space="preserve">Reference [12]; Emissions Factor for CO: g/kW-hr; TIER 4 Emissions Assumed// page 39216 </t>
  </si>
  <si>
    <t>Reference [7]; see below</t>
  </si>
  <si>
    <t>Reference [6]; see below</t>
  </si>
  <si>
    <t>2,3</t>
  </si>
  <si>
    <t>3 (cont.)</t>
  </si>
  <si>
    <t>Btu</t>
  </si>
  <si>
    <t>kg diesel</t>
  </si>
  <si>
    <t>L diesel</t>
  </si>
  <si>
    <t>Conversion Factors</t>
  </si>
  <si>
    <t>[14]</t>
  </si>
  <si>
    <t>[15]</t>
  </si>
  <si>
    <t>Unknown</t>
  </si>
  <si>
    <t>Reference [4]</t>
  </si>
  <si>
    <t>Mine Methane Emissions (Coalbed Methane Only)</t>
  </si>
  <si>
    <t>Reference [2]; page 113/207, near bottom</t>
  </si>
  <si>
    <t>Particulate Matter Emissions, Coal Mine</t>
  </si>
  <si>
    <t>Reference [8]; download from indicated website</t>
  </si>
  <si>
    <t>short tons of coal mined</t>
  </si>
  <si>
    <t>Coal Mine Production, Galatia Mine</t>
  </si>
  <si>
    <t>Reference [10]; Table 2</t>
  </si>
  <si>
    <t>Water Usage Estimates and Comparisons</t>
  </si>
  <si>
    <t>Reference [1]; Oral communication of estimate</t>
  </si>
  <si>
    <t xml:space="preserve">Reference [16]; for Greene County </t>
  </si>
  <si>
    <t>Reference [13]</t>
  </si>
  <si>
    <t>Reference [16]</t>
  </si>
  <si>
    <t>Data below are for Pennsylvania since Illinois did not collect water data for mining</t>
  </si>
  <si>
    <t>Excerpt from Datasheet:</t>
  </si>
  <si>
    <t>DS Sheet Information</t>
  </si>
  <si>
    <t>This data sheet is organized as follows:</t>
  </si>
  <si>
    <t>Worksheet</t>
  </si>
  <si>
    <t>Data Summary</t>
  </si>
  <si>
    <t>Reference Source Info</t>
  </si>
  <si>
    <t>Elec Demand</t>
  </si>
  <si>
    <t>WQ Emissions</t>
  </si>
  <si>
    <t>Mine CH4</t>
  </si>
  <si>
    <t>Mine PM</t>
  </si>
  <si>
    <t>Mine Prod</t>
  </si>
  <si>
    <t>Conversions</t>
  </si>
  <si>
    <t>Data Quality Index</t>
  </si>
  <si>
    <t>Calculations: Electricity Demand for Mining</t>
  </si>
  <si>
    <t>Underground Bituminous Coal Mining Diesel Use</t>
  </si>
  <si>
    <t>Calculations: Diesel Use for Mining</t>
  </si>
  <si>
    <t>Calculations: Particulate Emissions</t>
  </si>
  <si>
    <t>Calculations: Coal Mine Production</t>
  </si>
  <si>
    <t>Water Usage</t>
  </si>
  <si>
    <t>Calculations: Water Usage</t>
  </si>
  <si>
    <t>Unit Conversions</t>
  </si>
  <si>
    <t>See below, right for values used (highlighted in yellow)</t>
  </si>
  <si>
    <t>Summary</t>
  </si>
  <si>
    <r>
      <t>scf/ton</t>
    </r>
    <r>
      <rPr>
        <sz val="10"/>
        <rFont val="Arial"/>
        <family val="2"/>
      </rPr>
      <t xml:space="preserve"> coal</t>
    </r>
  </si>
  <si>
    <t>Diesel [Crude oil products]</t>
  </si>
  <si>
    <t>Power [Electric power]</t>
  </si>
  <si>
    <t>Water (ground water) [Water]</t>
  </si>
  <si>
    <t>Carbon dioxide [Inorganic emissions to air]</t>
  </si>
  <si>
    <t>VOC (unspecified) [Organic emissions to air (group VOC)]</t>
  </si>
  <si>
    <t>Methane [Organic emissions to air (group VOC)]</t>
  </si>
  <si>
    <t>Nitrous oxide (laughing gas) [Inorganic emissions to air]</t>
  </si>
  <si>
    <t>Nitrogen oxides [Inorganic emissions to air]</t>
  </si>
  <si>
    <t>Particulate Matter, unspecified [Other emissions to air]</t>
  </si>
  <si>
    <t>Carbon monoxide [Inorganic emissions to air]</t>
  </si>
  <si>
    <t>Chloride [Fresh water]</t>
  </si>
  <si>
    <t>Mercury (+II) [Heavy metals to air]</t>
  </si>
  <si>
    <t>Ammonia [Inorganic emissions to air]</t>
  </si>
  <si>
    <t>Water (storm runoff) [Water]</t>
  </si>
  <si>
    <t>Total suspended solids [Particles to fresh water]</t>
  </si>
  <si>
    <t>Iron [Heavy metals to fresh water]</t>
  </si>
  <si>
    <t>Sulphate [Inorganic emissions to fresh water]</t>
  </si>
  <si>
    <t>Biological oxygen demand (BOD) [Analytical measures to fresh water]</t>
  </si>
  <si>
    <t>Acidity [Inorganic emissions to fresh water]</t>
  </si>
  <si>
    <t xml:space="preserve">kg CH4/kg coal </t>
  </si>
  <si>
    <r>
      <t>kg dust/kg coal</t>
    </r>
    <r>
      <rPr>
        <strike/>
        <sz val="10"/>
        <rFont val="Arial"/>
        <family val="2"/>
      </rPr>
      <t xml:space="preserve"> </t>
    </r>
  </si>
  <si>
    <t xml:space="preserve">kg coal input/kg coal </t>
  </si>
  <si>
    <t xml:space="preserve">kg dust/kg coal </t>
  </si>
  <si>
    <t>[kg dust/kg coal] See Mine PM sheet</t>
  </si>
  <si>
    <t>[kg coal input/kg coal] Coal mined is equal to the coal out plus methane losses plus PM losses</t>
  </si>
  <si>
    <t>[kg CH4/kg coal] From Diesel Emissions sheet</t>
  </si>
  <si>
    <t>[kg dust/kg coal] From Diesel Emissions sheet</t>
  </si>
  <si>
    <t>[kg dust/kg coal] Total PM emissions</t>
  </si>
  <si>
    <r>
      <t>[kg CH4/kg coal</t>
    </r>
    <r>
      <rPr>
        <sz val="10"/>
        <rFont val="Arial"/>
        <family val="2"/>
      </rPr>
      <t>] Specific volume of methane  = 23.8 cf/lb (Reference 9 Table 3-5, page 3-16 (PDF page 59))</t>
    </r>
  </si>
  <si>
    <t>[Technosphere] Data derived from EPA estimate</t>
  </si>
  <si>
    <t>[Coal Resource] Coal mined is equal to the coal out plus methane losses plus PM losses</t>
  </si>
  <si>
    <t>[Technosphere] Estimated from 2002 Census data</t>
  </si>
  <si>
    <t>[Resource] Calculated from Galatia mine estimate, personal communication</t>
  </si>
  <si>
    <t>Alkalinity [Inorganic emissions to fresh water]</t>
  </si>
  <si>
    <t>Emission output to atmosphere</t>
  </si>
  <si>
    <t>Emission output to freshwater</t>
  </si>
  <si>
    <t>Emission outputs for Coal Mining and Preparation</t>
  </si>
  <si>
    <t>Ammonia Significance</t>
  </si>
  <si>
    <t>% impact</t>
  </si>
  <si>
    <t>% impact excluding GHGs</t>
  </si>
  <si>
    <t>Carbon Dioxide - Inorganic Emission to Air</t>
  </si>
  <si>
    <t>kg/kg coal produced</t>
  </si>
  <si>
    <t>VOCs - unspecified</t>
  </si>
  <si>
    <t>Methane - Organic Emissions to Air</t>
  </si>
  <si>
    <t>Nitrogen Oxides - Inorganic Emissions to Air</t>
  </si>
  <si>
    <t>Nitrous Oxide - Inorganic Emissions to Air</t>
  </si>
  <si>
    <r>
      <t>Sulfur oxides (</t>
    </r>
    <r>
      <rPr>
        <sz val="10"/>
        <rFont val="Arial"/>
        <family val="0"/>
      </rPr>
      <t>SO</t>
    </r>
    <r>
      <rPr>
        <vertAlign val="subscript"/>
        <sz val="10"/>
        <rFont val="Arial"/>
        <family val="2"/>
      </rPr>
      <t>X</t>
    </r>
    <r>
      <rPr>
        <sz val="10"/>
        <rFont val="Arial"/>
        <family val="0"/>
      </rPr>
      <t>) - Inorganic Emissions to Air</t>
    </r>
  </si>
  <si>
    <t>Particulate Matter, unspecified - Particles to Air</t>
  </si>
  <si>
    <t>Carbon Monoxide - Inorganic Emissions to Air</t>
  </si>
  <si>
    <t>Mercury - Heavy Metals to Air</t>
  </si>
  <si>
    <t>Ammonia - Emissions to Air</t>
  </si>
  <si>
    <t>Total Excluding GHGs</t>
  </si>
  <si>
    <t xml:space="preserve"> - Ammonia emissions are below 1% cut-off in both total air emissions and air emissions excluding GHGs</t>
  </si>
  <si>
    <t>Therefore, it is concluded that ammonia emissions during coal mining and preparation are not significant.</t>
  </si>
  <si>
    <t>DQI Significance Check</t>
  </si>
  <si>
    <t>Background</t>
  </si>
  <si>
    <t xml:space="preserve"> - No range of values for ammonia emission factor in Reference [7]</t>
  </si>
  <si>
    <t>DQI sig check</t>
  </si>
  <si>
    <t>Not significant, can remove (see worksheet 'DQI sig check')</t>
  </si>
  <si>
    <t>Significance check for ammonia emissions; see also DQI sheet</t>
  </si>
  <si>
    <t>(see DQI sheet for explanation)</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</si>
  <si>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</si>
  <si>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</si>
  <si>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</si>
  <si>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How to Cite This Document:</t>
  </si>
  <si>
    <t>Additional Notes:</t>
  </si>
  <si>
    <t>For the calculations sheets, values</t>
  </si>
  <si>
    <t xml:space="preserve">highlighted in yellow </t>
  </si>
  <si>
    <t>are also pulled forward into the 'Data Summary' sheet</t>
  </si>
  <si>
    <t>DQI Determination</t>
  </si>
  <si>
    <t>OK</t>
  </si>
  <si>
    <t>DQI Methodology</t>
  </si>
  <si>
    <t>DQI Matrix (from NETL LCI&amp;C Guideline Document, adapted from Weidema and Wenaes)</t>
  </si>
  <si>
    <r>
      <t>Source Reliability</t>
    </r>
    <r>
      <rPr>
        <b/>
        <i/>
        <sz val="10"/>
        <rFont val="Arial"/>
        <family val="2"/>
      </rPr>
      <t xml:space="preserve"> (for most applications, source quality guidelines only factor)</t>
    </r>
  </si>
  <si>
    <t>Technological Correlation</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</si>
  <si>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</si>
  <si>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</si>
  <si>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two or three, depending on the number of assumptions.  If no source data are available, a qualified estimate from an expert in the field should receive a score of four, and an estimate from a non-expert should receive a score of five. Mostly applicable to primary data.</t>
    </r>
  </si>
  <si>
    <r>
      <t xml:space="preserve">Source Quality Guidelines -- </t>
    </r>
    <r>
      <rPr>
        <sz val="10"/>
        <rFont val="Arial"/>
        <family val="2"/>
      </rPr>
      <t>The highest quality source should meet the following criteria.</t>
    </r>
  </si>
  <si>
    <t>o   Be from a peer reviewed journal or a government sponsored study.  If the source is an LCA, it must meet ISO requirements.</t>
  </si>
  <si>
    <t>o   The source is publicly available either for free or at cost, or directly representative of the process of interest.</t>
  </si>
  <si>
    <t>o   The source is written/published by an unbiased party.</t>
  </si>
  <si>
    <t>o   The source is an unbiased survey of experts or process locations.</t>
  </si>
  <si>
    <r>
      <t xml:space="preserve">Data Cross 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</si>
  <si>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</si>
  <si>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</si>
  <si>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</si>
  <si>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</si>
  <si>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</si>
  <si>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Requirements met</t>
  </si>
  <si>
    <t>OK; Note: Ammonia reference quality removed per 'DQI sig check' worksheet</t>
  </si>
  <si>
    <t>Reference (see 'Reference Source Info' worksheet)</t>
  </si>
  <si>
    <t xml:space="preserve">[2] </t>
  </si>
  <si>
    <t xml:space="preserve">[10] </t>
  </si>
  <si>
    <t xml:space="preserve">[1] </t>
  </si>
  <si>
    <t xml:space="preserve">[5] </t>
  </si>
  <si>
    <t>[12]</t>
  </si>
  <si>
    <t>[6]</t>
  </si>
  <si>
    <t>[7]</t>
  </si>
  <si>
    <t>[4]</t>
  </si>
  <si>
    <t>1,2,3,2,2</t>
  </si>
  <si>
    <t>short ton</t>
  </si>
  <si>
    <t>Calculations sheets: some cells contain hard-keyed conversion factors</t>
  </si>
  <si>
    <t>barrel</t>
  </si>
  <si>
    <t>gallon</t>
  </si>
  <si>
    <t xml:space="preserve">kg </t>
  </si>
  <si>
    <t>g</t>
  </si>
  <si>
    <t>Note: some conversion factors are hard-keyed into calculations</t>
  </si>
  <si>
    <t>Reference [2] (2006 data)</t>
  </si>
  <si>
    <t>GWh/yr</t>
  </si>
  <si>
    <t>GWh</t>
  </si>
  <si>
    <t>Referenced citations; citations are referenced by number, listed at the top of the Reference Source Info sheet</t>
  </si>
  <si>
    <t xml:space="preserve">Process Name: </t>
  </si>
  <si>
    <t xml:space="preserve">Process Description: </t>
  </si>
  <si>
    <t xml:space="preserve">Files: </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</si>
  <si>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</si>
  <si>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</si>
  <si>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Summary and Calculations Worksheets:</t>
  </si>
  <si>
    <t>http://www.epa.gov/cmop/docs/profiles_2008_final.pdf (6/13/2009)</t>
  </si>
  <si>
    <t>http://www.eia.doe.gov/cneaf/coal/page/acr/acr_sum.html (6/13/2009)</t>
  </si>
  <si>
    <t>http://www.eia.doe.gov/oiaf/1605/excel/Fuel%20Emission%20Factors.xls (6/13/2009)</t>
  </si>
  <si>
    <t>http://www.api.org/ehs/climate/new/upload/2004_COMPENDIUM.pdf (6/13/2009)</t>
  </si>
  <si>
    <t>http://www.epa.gov/climatechange/emissions/downloads06/07Annex6.pdf (6/13/2009)</t>
  </si>
  <si>
    <t>http://www.fhwa.dot.gov/environment/conformity/mpe_benefits/6.htm (6/13/2009)</t>
  </si>
  <si>
    <t xml:space="preserve"> </t>
  </si>
  <si>
    <t>Disclaimer:</t>
  </si>
  <si>
    <t>Galatia Mine. 2005 through 2008. NPDES Permit No. IL061727, Required Reports. Galatia Mine, IL.</t>
  </si>
  <si>
    <t>Conaway C H, Mason R P, Steding D J, Flegal A R. 2005. Estimate of mercury emission from gasoline and diesel consumption, San Francisco Bay area, California. Atmospheric Environment 39:101-105.</t>
  </si>
  <si>
    <t>Battye R, Battye W, Overcash C, Fudge S. 1994. Development and Selection of Ammonia Emissions Factors, Final Report. USEPA, Washington, D.C.</t>
  </si>
  <si>
    <r>
      <t xml:space="preserve">U.S. Environmental Protection Agency. 2005. </t>
    </r>
    <r>
      <rPr>
        <i/>
        <sz val="10"/>
        <rFont val="Arial"/>
        <family val="2"/>
      </rPr>
      <t>National Emission Inventory Database - Galatia Mine, IL. EPA. http://www.epa.gov/oar/data/neidb.html (Accessed March 18, 2009).</t>
    </r>
  </si>
  <si>
    <t>http://www.epa.gov/ttn/chief/net/2005inventory.html (3/18/2009)</t>
  </si>
  <si>
    <t>Illinois Department of Commerce and Economic Opportunity. 2008. The Illinois Coal Industry. Springfield, IL. June, 2008.</t>
  </si>
  <si>
    <t>http://www.census.gov/prod/ec02/ec0221i212112.pdf (3/18/2009)</t>
  </si>
  <si>
    <t>http://www.epa.gov/fedrgstr/EPA-AIR/2004/June/Day-29/a11293a.pdf (3/18/2009)</t>
  </si>
  <si>
    <t>http://www.bowenbasin.cqu.edu.au/pdfs/waterusesota.pdf (3/18/2009)</t>
  </si>
  <si>
    <t>http://water.usgs.gov/watuse/data/2000/paco2000.xls (3/18/2009)</t>
  </si>
  <si>
    <t>ftp://ftp.eia.doe.gov/pub/pdf/coal.nuclear/05842000.pdf (3/18/2009)</t>
  </si>
  <si>
    <t>Greenhouse gas emissions report, including standard conversion factors used by the U.S. EPA.</t>
  </si>
  <si>
    <t>U.S. Environmental Protection Agency</t>
  </si>
  <si>
    <t>U.S. Geological Survey</t>
  </si>
  <si>
    <t>Auxiliary Process (AP)</t>
  </si>
  <si>
    <t>Calculations: Water Quality Emissions for Mining</t>
  </si>
  <si>
    <t xml:space="preserve"> - check significance first. If the input is not significant by a long shot (or with the maximum possible value, then it is not necessary to include in the UP</t>
  </si>
  <si>
    <t>Emission factor calculated based on stoichiometry of sulfur in ultra low sulfur diesel (15 ppmw S), assumes all S in diesel converted to SO2 in emissions</t>
  </si>
  <si>
    <t>Water Quality Emissions</t>
  </si>
  <si>
    <r>
      <t xml:space="preserve">U.S. Environmental Protection Agency. 2008. </t>
    </r>
    <r>
      <rPr>
        <i/>
        <sz val="10"/>
        <rFont val="Arial"/>
        <family val="2"/>
      </rPr>
      <t>Identifying Opportunities for Methane Recovery at U.S. Coal Mines: Profiles of Selected Gassy Underground Coal Mines 2002-2006</t>
    </r>
    <r>
      <rPr>
        <sz val="10"/>
        <rFont val="Arial"/>
        <family val="0"/>
      </rPr>
      <t>.  U.S. Environmental Protection Agency, Coalbed Methane Outreach Program.  Report Number: EPA 430-K-04-003.</t>
    </r>
  </si>
  <si>
    <t>Personal Communication. 2009. Personal communication with Galatia Mine chief engineer, March 13, 2009.</t>
  </si>
  <si>
    <r>
      <t xml:space="preserve">Energy Information Administration. </t>
    </r>
    <r>
      <rPr>
        <i/>
        <sz val="10"/>
        <rFont val="Arial"/>
        <family val="2"/>
      </rPr>
      <t>Annual Coal Report.</t>
    </r>
    <r>
      <rPr>
        <sz val="10"/>
        <rFont val="Arial"/>
        <family val="0"/>
      </rPr>
      <t xml:space="preserve"> 2004. http://www.eia.doe.gov/cneaf/coal/page/acr/acr_sum.html (Accessed June 13, 2009).</t>
    </r>
  </si>
  <si>
    <t>American Petroleum Institute. 2004. Compendium of Greenhouse Gas Emissions Methodologies in the Oil and Gas Industry. Available at http://www.api.org/ehs/climate/new/upload/2004_COMPENDIUM.pdf (Accessed June 13, 2009)</t>
  </si>
  <si>
    <r>
      <t xml:space="preserve">U.S. Census Bureau. 2004. </t>
    </r>
    <r>
      <rPr>
        <i/>
        <sz val="10"/>
        <rFont val="Arial"/>
        <family val="2"/>
      </rPr>
      <t>Bituminous Coal Underground Mining: 2002</t>
    </r>
    <r>
      <rPr>
        <sz val="10"/>
        <rFont val="Arial"/>
        <family val="2"/>
      </rPr>
      <t>. U.S. Department of Commerce.  http://www.census.gov/prod/ec02/ec0221i212112.pdf (Accessed march 18, 2009).</t>
    </r>
  </si>
  <si>
    <r>
      <t xml:space="preserve">U.S. Environmental Protection Agency. 2004. </t>
    </r>
    <r>
      <rPr>
        <i/>
        <sz val="10"/>
        <rFont val="Arial"/>
        <family val="2"/>
      </rPr>
      <t>40 CFR Parts 9, 69, et al. Control of Emissions of Air Pollution From Nonroad Diesel Engines and Fuel; Final Rule</t>
    </r>
    <r>
      <rPr>
        <sz val="10"/>
        <rFont val="Arial"/>
        <family val="2"/>
      </rPr>
      <t>.  Federal Register 69(124). http://www.epa.gov/fedrgstr/EPA-AIR/2004/June/Day-29/a11293a.pdf (Accessed March 18, 2009).</t>
    </r>
  </si>
  <si>
    <t>U.S. Environmental Protection Agency. 2007. Annex 6 Additional Information. Available at http://www.epa.gov/climatechange/emissions/downloads06/07Annex6.pdf (Accessed June 13, 2009).</t>
  </si>
  <si>
    <r>
      <t xml:space="preserve">U.S. Geological Survey. 2000. </t>
    </r>
    <r>
      <rPr>
        <i/>
        <sz val="10"/>
        <rFont val="Arial"/>
        <family val="2"/>
      </rPr>
      <t>Estimated Use of Water in the United States: County-Level Data for 2000</t>
    </r>
    <r>
      <rPr>
        <sz val="10"/>
        <rFont val="Arial"/>
        <family val="2"/>
      </rPr>
      <t>. United States Geological Survey.  http://water.usgs.gov/watuse/data/2000/paco2000.xls (accessed March 18, 2009).</t>
    </r>
  </si>
  <si>
    <r>
      <t xml:space="preserve">Energy Information Administration. 2000. </t>
    </r>
    <r>
      <rPr>
        <i/>
        <sz val="10"/>
        <rFont val="Arial"/>
        <family val="2"/>
      </rPr>
      <t>Coal Industry Annual 2000</t>
    </r>
    <r>
      <rPr>
        <sz val="10"/>
        <rFont val="Arial"/>
        <family val="2"/>
      </rPr>
      <t>. US Department of Energy. ftp://ftp.eia.doe.gov/pub/pdf/coal.nuclear/05842000.pdf (accessed March 18, 2009).</t>
    </r>
  </si>
  <si>
    <t>Illinois No. 6 Coal Mine Electricity Demand (based on the Galatia Mine, Galatia, Illinois)</t>
  </si>
  <si>
    <t>The diesel energy consumption factor is assumed to be the same as for locomotives (Reference [15]).  This is noted as a data limitation because smaller engines are likely less efficient.</t>
  </si>
  <si>
    <t>[scf/ton coal] Adjustable parameter; 360 scf/ton = average methane emissions from Galatia mine; see DF sheet for additional detail</t>
  </si>
  <si>
    <t>MMBtu HHV/bbl</t>
  </si>
  <si>
    <t>EIA Monthly Energy Review Appendix A</t>
  </si>
  <si>
    <t>MMBtu HHV/ton</t>
  </si>
  <si>
    <t>API 2004 Table 3-5</t>
  </si>
  <si>
    <t>MMBtu HHV/MMcf</t>
  </si>
  <si>
    <t>EIA 2008</t>
  </si>
  <si>
    <t>Summary of Calculations, Input and Output Flows, Reference Flow, and other information</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</si>
  <si>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</si>
  <si>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Calculations: Diesel Emissions for Mining</t>
  </si>
  <si>
    <t>Sulphur oxide [Inorganic emissions to air]</t>
  </si>
  <si>
    <t>kWh/ton coal</t>
  </si>
  <si>
    <t>[kg CH4/kg coal] Total methane emissions</t>
  </si>
  <si>
    <t>Underground Mine, Western Montana Subbituminous Coal, Operation</t>
  </si>
  <si>
    <t>Montana</t>
  </si>
  <si>
    <t>CMM</t>
  </si>
  <si>
    <t>CMM_kg</t>
  </si>
  <si>
    <t>CMM/23.8/907.18474/2.204622</t>
  </si>
  <si>
    <t>CMM_kg+Mine_Prep_PM+1</t>
  </si>
  <si>
    <t>CMM_kg+Diesel_CH4_Em</t>
  </si>
  <si>
    <t>http://epa.gov/climatechange/emissions/downloads11/US-GHG-Inventory-2011-Annex_Complete_Report.pdf</t>
  </si>
  <si>
    <t xml:space="preserve">U.S. Environmental Protection Agency. 2011. Inventory of U.S. Greenhouse Gas Emissions and Sinks: 1990-2009. Annex 3. US EPA, Washington, DC. April 15, 2011. EPA 430-R-11-005. http://epa.gov/climatechange/emissions/downloads11/US-GHG-Inventory-2011-Annex_Complete_Report.pdf (accessed July 25, 2011). </t>
  </si>
  <si>
    <t>In situ undergound and surface coal mine methane averages for individual coal basins in the United States, Annex 3, Table A-116</t>
  </si>
  <si>
    <t>cubic feet/short ton</t>
  </si>
  <si>
    <t>Reference [18], Annex 3, page A-144, Table A-116</t>
  </si>
  <si>
    <t>Coal Mine Methane Emissions, Western Montana Subbituminous Underground Mine</t>
  </si>
  <si>
    <t>40% methane capture rate</t>
  </si>
  <si>
    <t>Based on the Illinois No. 6 underground, subbituminous coal mine unit process. Assumes all underground mining to be similar; 15.8 cubic feet/short ton coal mine CH4 (CMM) emissions, adjustable CMM capture rates; LHV=10650 Btu/lb</t>
  </si>
  <si>
    <t xml:space="preserve">Inventory of U.S. Greenhouse Gas Emissions and Sinks, 1990-2009. Annex 3. </t>
  </si>
  <si>
    <t>2011</t>
  </si>
  <si>
    <t>April 15, 2011</t>
  </si>
  <si>
    <t>US EPA</t>
  </si>
  <si>
    <t>Annex 3, p. A-144</t>
  </si>
  <si>
    <t>Table A-116: Coal Surface and Post-Mining CH4 Emission Factors (ft^3 per Short Ton)</t>
  </si>
  <si>
    <t>EPA 430-R-11-005</t>
  </si>
  <si>
    <t>Individual Coal Basins</t>
  </si>
  <si>
    <t>2, 20</t>
  </si>
  <si>
    <t>Western Montana Subbituminous Coal</t>
  </si>
  <si>
    <t>Hard Coal (Western Montana) [Hard coal (resource)]</t>
  </si>
  <si>
    <t>Hard Coal (Western Montana) [Hard Coal Products]</t>
  </si>
  <si>
    <r>
      <t xml:space="preserve">This unit process is comprised of this document, as well as the file, </t>
    </r>
    <r>
      <rPr>
        <i/>
        <sz val="10"/>
        <rFont val="Arial"/>
        <family val="2"/>
      </rPr>
      <t>DF_Stage1_O_Underground_Coal_Mine_WestMTSubbit_2011.01.doc</t>
    </r>
    <r>
      <rPr>
        <sz val="10"/>
        <rFont val="Tahoma"/>
        <family val="2"/>
      </rPr>
      <t xml:space="preserve">, which provides additional details regarding calculations, data quality, and references as relevant. </t>
    </r>
  </si>
  <si>
    <t>Calculations: Coal Mine Methane Emissions</t>
  </si>
  <si>
    <r>
      <t xml:space="preserve">This document should be cited as: NETL (2011). </t>
    </r>
    <r>
      <rPr>
        <i/>
        <sz val="10"/>
        <rFont val="Arial"/>
        <family val="2"/>
      </rPr>
      <t>NETL Life Cycle Inventory Data – Unit Process: Underground Mine, Western Montana Subbituminous Coal, Operation</t>
    </r>
    <r>
      <rPr>
        <sz val="10"/>
        <rFont val="Arial"/>
        <family val="2"/>
      </rPr>
      <t>. U.S. Department of Energy, National Energy Technology Laboratory. Last Updated: July 2011 (version 01). www.netl.doe.gov/energy-analyses (http://www.netl.doe.gov/energy-analyses)</t>
    </r>
  </si>
</sst>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quot;&quot;;General"/>
    <numFmt numFmtId="166" formatCode="0.00E+0;[=0]&quot;-&quot;;0.00E+0"/>
    <numFmt numFmtId="167" formatCode="_ [$€-2]\ * #,##0.00_ ;_ [$€-2]\ * \-#,##0.00_ ;_ [$€-2]\ * &quot;-&quot;??_ "/>
    <numFmt numFmtId="168" formatCode="0.00000000"/>
    <numFmt numFmtId="169" formatCode="0.0000000"/>
    <numFmt numFmtId="170" formatCode="#,##0.0"/>
    <numFmt numFmtId="171" formatCode="#,##0.000"/>
    <numFmt numFmtId="172" formatCode="#,##0.00000"/>
    <numFmt numFmtId="173" formatCode="#,##0.0000000"/>
    <numFmt numFmtId="174" formatCode="mmm\-yyyy"/>
    <numFmt numFmtId="175" formatCode="0.000E+00"/>
    <numFmt numFmtId="176" formatCode="0.0"/>
    <numFmt numFmtId="177" formatCode="mmm\ dd\,\ yyyy"/>
    <numFmt numFmtId="178" formatCode="yyyy"/>
    <numFmt numFmtId="179" formatCode="m/d/yy\ h:mm"/>
    <numFmt numFmtId="180" formatCode="_(* #,##0.0000_);_(* \(#,##0.0000\);_(* &quot;-&quot;??_);_(@_)"/>
    <numFmt numFmtId="181" formatCode="0.000000%"/>
    <numFmt numFmtId="182" formatCode="_(* #,##0_);_(* \(#,##0\);_(* &quot;-&quot;??_);_(@_)"/>
    <numFmt numFmtId="183" formatCode="_(* #,##0.00000_);_(* \(#,##0.00000\);_(* &quot;-&quot;??_);_(@_)"/>
    <numFmt numFmtId="184" formatCode="_(* #,##0.000000_);_(* \(#,##0.000000\);_(* &quot;-&quot;??_);_(@_)"/>
    <numFmt numFmtId="185" formatCode="0.00000E+00"/>
    <numFmt numFmtId="186" formatCode="_(* #,##0.00000000_);_(* \(#,##0.00000000\);_(* &quot;-&quot;??_);_(@_)"/>
    <numFmt numFmtId="187" formatCode="0.000000000000"/>
  </numFmts>
  <fonts count="60">
    <font>
      <sz val="10"/>
      <name val="Arial"/>
      <family val="0"/>
    </font>
    <font>
      <sz val="11"/>
      <color indexed="8"/>
      <name val="Calibri"/>
      <family val="2"/>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12"/>
      <name val="Arial"/>
      <family val="2"/>
    </font>
    <font>
      <sz val="9"/>
      <name val="Helv"/>
      <family val="2"/>
    </font>
    <font>
      <b/>
      <i/>
      <sz val="10"/>
      <color indexed="12"/>
      <name val="Arial"/>
      <family val="2"/>
    </font>
    <font>
      <sz val="10"/>
      <color indexed="8"/>
      <name val="Arial"/>
      <family val="2"/>
    </font>
    <font>
      <i/>
      <sz val="10"/>
      <name val="Arial"/>
      <family val="2"/>
    </font>
    <font>
      <b/>
      <u val="single"/>
      <sz val="10"/>
      <name val="Arial"/>
      <family val="2"/>
    </font>
    <font>
      <vertAlign val="sub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8"/>
      <name val="Arial"/>
      <family val="2"/>
    </font>
    <font>
      <b/>
      <sz val="9"/>
      <name val="Geneva"/>
      <family val="0"/>
    </font>
    <font>
      <sz val="9"/>
      <name val="Geneva"/>
      <family val="0"/>
    </font>
    <font>
      <b/>
      <sz val="10"/>
      <name val="Tahoma"/>
      <family val="2"/>
    </font>
    <font>
      <sz val="10"/>
      <name val="Tahoma"/>
      <family val="2"/>
    </font>
    <font>
      <b/>
      <sz val="10"/>
      <color indexed="8"/>
      <name val="Arial"/>
      <family val="2"/>
    </font>
    <font>
      <vertAlign val="subscript"/>
      <sz val="10"/>
      <color indexed="8"/>
      <name val="Arial"/>
      <family val="2"/>
    </font>
    <font>
      <u val="single"/>
      <sz val="10"/>
      <name val="Arial"/>
      <family val="2"/>
    </font>
    <font>
      <b/>
      <i/>
      <sz val="12"/>
      <name val="Arial"/>
      <family val="2"/>
    </font>
    <font>
      <b/>
      <i/>
      <sz val="10"/>
      <name val="Arial"/>
      <family val="2"/>
    </font>
    <font>
      <b/>
      <sz val="12"/>
      <name val="Times New Roman"/>
      <family val="1"/>
    </font>
    <font>
      <sz val="12"/>
      <name val="Times New Roman"/>
      <family val="1"/>
    </font>
    <font>
      <i/>
      <sz val="9"/>
      <name val="Arial"/>
      <family val="2"/>
    </font>
    <font>
      <b/>
      <u val="single"/>
      <sz val="16"/>
      <name val="Arial"/>
      <family val="2"/>
    </font>
    <font>
      <b/>
      <u val="single"/>
      <sz val="14"/>
      <name val="Arial"/>
      <family val="2"/>
    </font>
    <font>
      <strike/>
      <sz val="10"/>
      <name val="Arial"/>
      <family val="2"/>
    </font>
    <font>
      <b/>
      <i/>
      <u val="single"/>
      <sz val="10"/>
      <name val="Arial"/>
      <family val="2"/>
    </font>
    <font>
      <b/>
      <sz val="16"/>
      <color indexed="56"/>
      <name val="Arial"/>
      <family val="2"/>
    </font>
    <font>
      <b/>
      <sz val="10"/>
      <color indexed="10"/>
      <name val="Arial"/>
      <family val="2"/>
    </font>
    <font>
      <i/>
      <sz val="10"/>
      <color indexed="10"/>
      <name val="Arial"/>
      <family val="2"/>
    </font>
    <font>
      <b/>
      <u val="single"/>
      <sz val="10"/>
      <color indexed="8"/>
      <name val="Arial"/>
      <family val="0"/>
    </font>
    <font>
      <i/>
      <sz val="10"/>
      <color indexed="8"/>
      <name val="Arial"/>
      <family val="0"/>
    </font>
    <font>
      <b/>
      <sz val="16"/>
      <color theme="3"/>
      <name val="Arial"/>
      <family val="2"/>
    </font>
    <font>
      <sz val="10"/>
      <color rgb="FFFF0000"/>
      <name val="Arial"/>
      <family val="2"/>
    </font>
    <font>
      <b/>
      <sz val="10"/>
      <color rgb="FFFF0000"/>
      <name val="Arial"/>
      <family val="2"/>
    </font>
    <font>
      <i/>
      <sz val="10"/>
      <color rgb="FFFF000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2"/>
        <bgColor indexed="64"/>
      </patternFill>
    </fill>
    <fill>
      <patternFill patternType="lightDown">
        <bgColor indexed="22"/>
      </patternFill>
    </fill>
    <fill>
      <patternFill patternType="solid">
        <fgColor theme="0"/>
        <bgColor indexed="64"/>
      </patternFill>
    </fill>
    <fill>
      <patternFill patternType="solid">
        <fgColor theme="0" tint="-0.1499900072813034"/>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medium">
        <color indexed="39"/>
      </top>
      <bottom/>
    </border>
    <border>
      <left style="medium">
        <color indexed="39"/>
      </left>
      <right/>
      <top style="medium">
        <color indexed="39"/>
      </top>
      <bottom/>
    </border>
    <border>
      <left/>
      <right/>
      <top/>
      <bottom style="medium">
        <color indexed="39"/>
      </bottom>
    </border>
    <border>
      <left/>
      <right/>
      <top style="thin">
        <color indexed="62"/>
      </top>
      <bottom style="double">
        <color indexed="62"/>
      </bottom>
    </border>
    <border>
      <left style="thin"/>
      <right style="thin"/>
      <top style="thin"/>
      <bottom style="thin"/>
    </border>
    <border>
      <left style="thin"/>
      <right style="thin"/>
      <top style="thin"/>
      <bottom/>
    </border>
    <border>
      <left/>
      <right/>
      <top style="thin"/>
      <bottom style="thin"/>
    </border>
    <border>
      <left/>
      <right style="thin"/>
      <top style="thin"/>
      <bottom style="thin"/>
    </border>
    <border>
      <left/>
      <right/>
      <top/>
      <bottom style="medium"/>
    </border>
    <border>
      <left style="medium"/>
      <right/>
      <top style="medium"/>
      <bottom/>
    </border>
    <border>
      <left/>
      <right style="medium"/>
      <top style="medium"/>
      <bottom/>
    </border>
    <border>
      <left style="medium"/>
      <right style="medium"/>
      <top style="medium"/>
      <bottom/>
    </border>
    <border>
      <left style="medium"/>
      <right/>
      <top/>
      <bottom/>
    </border>
    <border>
      <left/>
      <right style="medium"/>
      <top/>
      <bottom/>
    </border>
    <border>
      <left style="medium"/>
      <right style="medium"/>
      <top/>
      <bottom/>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right/>
      <top style="thin"/>
      <bottom/>
    </border>
    <border>
      <left/>
      <right/>
      <top/>
      <bottom style="thin"/>
    </border>
    <border>
      <left style="thin">
        <color indexed="8"/>
      </left>
      <right style="thin">
        <color indexed="8"/>
      </right>
      <top style="thin">
        <color indexed="8"/>
      </top>
      <bottom style="thin">
        <color indexed="8"/>
      </bottom>
    </border>
    <border>
      <left style="medium"/>
      <right style="medium"/>
      <top/>
      <bottom style="medium"/>
    </border>
    <border>
      <left style="medium"/>
      <right/>
      <top/>
      <bottom style="medium"/>
    </border>
    <border>
      <left/>
      <right style="medium"/>
      <top/>
      <bottom style="medium"/>
    </border>
    <border>
      <left style="thin"/>
      <right/>
      <top style="thin"/>
      <bottom style="thin"/>
    </border>
    <border>
      <left style="thin"/>
      <right/>
      <top/>
      <bottom/>
    </border>
    <border>
      <left/>
      <right style="thin"/>
      <top/>
      <bottom/>
    </border>
    <border>
      <left style="thin"/>
      <right style="thin"/>
      <top/>
      <bottom style="thin"/>
    </border>
    <border>
      <left style="thin"/>
      <right style="thin"/>
      <top style="thin"/>
      <bottom style="medium"/>
    </border>
    <border>
      <left/>
      <right/>
      <top style="medium"/>
      <bottom style="thin"/>
    </border>
    <border>
      <left/>
      <right style="thin"/>
      <top style="thin"/>
      <bottom/>
    </border>
    <border>
      <left style="thin"/>
      <right/>
      <top/>
      <bottom style="thin"/>
    </border>
    <border>
      <left style="thin"/>
      <right/>
      <top style="thin"/>
      <bottom/>
    </border>
    <border>
      <left/>
      <right style="thin"/>
      <top/>
      <bottom style="thin"/>
    </border>
    <border>
      <left/>
      <right style="medium"/>
      <top style="thin"/>
      <bottom style="thin"/>
    </border>
    <border>
      <left/>
      <right/>
      <top style="thin"/>
      <bottom style="medium"/>
    </border>
    <border>
      <left/>
      <right style="medium"/>
      <top style="thin"/>
      <bottom style="medium"/>
    </border>
    <border>
      <left/>
      <right style="medium"/>
      <top style="medium"/>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3" borderId="0" applyNumberFormat="0" applyBorder="0" applyAlignment="0" applyProtection="0"/>
    <xf numFmtId="0" fontId="18"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9" fontId="0" fillId="0" borderId="0" applyFont="0" applyFill="0" applyBorder="0" applyAlignment="0" applyProtection="0"/>
    <xf numFmtId="167" fontId="8"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9" fillId="0" borderId="0" applyNumberFormat="0" applyFill="0" applyBorder="0" applyAlignment="0" applyProtection="0"/>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2" fillId="0" borderId="0">
      <alignment/>
      <protection/>
    </xf>
    <xf numFmtId="0" fontId="12" fillId="0" borderId="0">
      <alignment/>
      <protection/>
    </xf>
    <xf numFmtId="0" fontId="0" fillId="23" borderId="7" applyNumberFormat="0" applyFont="0" applyAlignment="0" applyProtection="0"/>
    <xf numFmtId="0" fontId="28" fillId="20" borderId="8" applyNumberFormat="0" applyAlignment="0" applyProtection="0"/>
    <xf numFmtId="9" fontId="0" fillId="0" borderId="0" applyFont="0" applyFill="0" applyBorder="0" applyAlignment="0" applyProtection="0"/>
    <xf numFmtId="0" fontId="0" fillId="0" borderId="0">
      <alignment/>
      <protection/>
    </xf>
    <xf numFmtId="0" fontId="2" fillId="24" borderId="9" applyNumberFormat="0" applyProtection="0">
      <alignment horizontal="center" wrapText="1"/>
    </xf>
    <xf numFmtId="0" fontId="2" fillId="24" borderId="10" applyNumberFormat="0" applyAlignment="0" applyProtection="0"/>
    <xf numFmtId="0" fontId="0" fillId="25" borderId="0" applyNumberFormat="0" applyBorder="0">
      <alignment horizontal="center" wrapText="1"/>
      <protection/>
    </xf>
    <xf numFmtId="0" fontId="0" fillId="26" borderId="11" applyNumberFormat="0">
      <alignment wrapText="1"/>
      <protection/>
    </xf>
    <xf numFmtId="0" fontId="0" fillId="26" borderId="0" applyNumberFormat="0" applyBorder="0">
      <alignment wrapText="1"/>
      <protection/>
    </xf>
    <xf numFmtId="0" fontId="0" fillId="0" borderId="0" applyNumberFormat="0" applyFill="0" applyBorder="0" applyProtection="0">
      <alignment horizontal="right" wrapText="1"/>
    </xf>
    <xf numFmtId="177" fontId="0" fillId="0" borderId="0" applyFill="0" applyBorder="0" applyAlignment="0" applyProtection="0"/>
    <xf numFmtId="174" fontId="0" fillId="0" borderId="0" applyFill="0" applyBorder="0" applyAlignment="0" applyProtection="0"/>
    <xf numFmtId="178"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9" fillId="0" borderId="0" applyNumberFormat="0" applyFill="0" applyBorder="0">
      <alignment horizontal="left" wrapText="1"/>
      <protection/>
    </xf>
    <xf numFmtId="0" fontId="2" fillId="0" borderId="0" applyNumberFormat="0" applyFill="0" applyBorder="0">
      <alignment horizontal="center" wrapText="1"/>
      <protection/>
    </xf>
    <xf numFmtId="0" fontId="2" fillId="0" borderId="0" applyNumberFormat="0" applyFill="0" applyBorder="0">
      <alignment horizontal="center" wrapText="1"/>
      <protection/>
    </xf>
    <xf numFmtId="165" fontId="10" fillId="0" borderId="0">
      <alignment horizontal="center" vertical="center"/>
      <protection/>
    </xf>
    <xf numFmtId="0" fontId="30" fillId="0" borderId="0" applyNumberFormat="0" applyFill="0" applyBorder="0" applyAlignment="0" applyProtection="0"/>
    <xf numFmtId="0" fontId="31" fillId="0" borderId="12" applyNumberFormat="0" applyFill="0" applyAlignment="0" applyProtection="0"/>
    <xf numFmtId="0" fontId="32" fillId="0" borderId="0" applyNumberFormat="0" applyFill="0" applyBorder="0" applyAlignment="0" applyProtection="0"/>
    <xf numFmtId="166" fontId="0" fillId="0" borderId="0">
      <alignment horizontal="center" vertical="center"/>
      <protection/>
    </xf>
  </cellStyleXfs>
  <cellXfs count="476">
    <xf numFmtId="0" fontId="0" fillId="0" borderId="0" xfId="0" applyAlignment="1">
      <alignment/>
    </xf>
    <xf numFmtId="0" fontId="2" fillId="0" borderId="0" xfId="0" applyFont="1" applyAlignment="1">
      <alignment/>
    </xf>
    <xf numFmtId="0" fontId="4" fillId="0" borderId="0" xfId="0" applyFont="1" applyAlignment="1">
      <alignment/>
    </xf>
    <xf numFmtId="0" fontId="2" fillId="20" borderId="13" xfId="0" applyFont="1" applyFill="1" applyBorder="1" applyAlignment="1">
      <alignment horizontal="center"/>
    </xf>
    <xf numFmtId="0" fontId="2" fillId="22" borderId="0" xfId="0" applyFont="1" applyFill="1" applyAlignment="1">
      <alignment/>
    </xf>
    <xf numFmtId="0" fontId="0" fillId="22" borderId="0" xfId="0" applyFill="1" applyAlignment="1">
      <alignment/>
    </xf>
    <xf numFmtId="0" fontId="4" fillId="22" borderId="0" xfId="0" applyFont="1" applyFill="1" applyAlignment="1">
      <alignment/>
    </xf>
    <xf numFmtId="0" fontId="3" fillId="22" borderId="0" xfId="0" applyFont="1" applyFill="1" applyAlignment="1">
      <alignment/>
    </xf>
    <xf numFmtId="0" fontId="2" fillId="20" borderId="0" xfId="0" applyFont="1" applyFill="1" applyAlignment="1">
      <alignment vertical="top" wrapText="1"/>
    </xf>
    <xf numFmtId="0" fontId="0" fillId="20" borderId="0" xfId="0" applyFill="1" applyAlignment="1">
      <alignment vertical="top" wrapText="1"/>
    </xf>
    <xf numFmtId="0" fontId="0" fillId="0" borderId="0" xfId="0" applyAlignment="1">
      <alignment vertical="top" wrapText="1"/>
    </xf>
    <xf numFmtId="0" fontId="2" fillId="0" borderId="0" xfId="0" applyFont="1" applyAlignment="1">
      <alignment vertical="top" wrapText="1"/>
    </xf>
    <xf numFmtId="0" fontId="0" fillId="0" borderId="0" xfId="0" applyFill="1" applyAlignment="1">
      <alignment vertical="top" wrapText="1"/>
    </xf>
    <xf numFmtId="0" fontId="0" fillId="21" borderId="0" xfId="0" applyFill="1" applyAlignment="1">
      <alignment vertical="top" wrapText="1"/>
    </xf>
    <xf numFmtId="0" fontId="0" fillId="0" borderId="0" xfId="0" applyFill="1" applyAlignment="1" applyProtection="1">
      <alignment vertical="top" wrapText="1"/>
      <protection locked="0"/>
    </xf>
    <xf numFmtId="0" fontId="0" fillId="0" borderId="0" xfId="0" applyFill="1" applyAlignment="1" applyProtection="1">
      <alignment/>
      <protection locked="0"/>
    </xf>
    <xf numFmtId="49" fontId="0" fillId="0" borderId="0" xfId="0" applyNumberFormat="1" applyFill="1" applyAlignment="1" applyProtection="1">
      <alignment vertical="top" wrapText="1"/>
      <protection locked="0"/>
    </xf>
    <xf numFmtId="49" fontId="0" fillId="0" borderId="0" xfId="0" applyNumberFormat="1" applyFill="1" applyAlignment="1" applyProtection="1">
      <alignment/>
      <protection locked="0"/>
    </xf>
    <xf numFmtId="0" fontId="0" fillId="0" borderId="0" xfId="0" applyFont="1" applyFill="1" applyAlignment="1" applyProtection="1">
      <alignment vertical="top" wrapText="1"/>
      <protection locked="0"/>
    </xf>
    <xf numFmtId="0" fontId="0" fillId="7" borderId="0" xfId="0" applyFill="1" applyAlignment="1" applyProtection="1">
      <alignment vertical="top" wrapText="1"/>
      <protection hidden="1"/>
    </xf>
    <xf numFmtId="0" fontId="2" fillId="7" borderId="0" xfId="0" applyFont="1" applyFill="1" applyAlignment="1" applyProtection="1">
      <alignment vertical="top" wrapText="1"/>
      <protection hidden="1"/>
    </xf>
    <xf numFmtId="0" fontId="0" fillId="27" borderId="13" xfId="0" applyFill="1" applyBorder="1" applyAlignment="1">
      <alignment/>
    </xf>
    <xf numFmtId="0" fontId="2" fillId="27" borderId="13" xfId="0" applyFont="1" applyFill="1" applyBorder="1" applyAlignment="1">
      <alignment/>
    </xf>
    <xf numFmtId="0" fontId="0" fillId="22" borderId="0" xfId="0" applyFill="1" applyAlignment="1">
      <alignment horizontal="center"/>
    </xf>
    <xf numFmtId="0" fontId="0" fillId="27" borderId="13" xfId="0" applyFill="1" applyBorder="1" applyAlignment="1">
      <alignment vertical="top" wrapText="1"/>
    </xf>
    <xf numFmtId="0" fontId="2" fillId="27" borderId="13" xfId="0" applyFont="1" applyFill="1" applyBorder="1" applyAlignment="1">
      <alignment vertical="top"/>
    </xf>
    <xf numFmtId="0" fontId="0" fillId="27" borderId="13" xfId="0" applyFill="1" applyBorder="1" applyAlignment="1">
      <alignment vertical="top"/>
    </xf>
    <xf numFmtId="0" fontId="0" fillId="27" borderId="13" xfId="0" applyFill="1" applyBorder="1" applyAlignment="1">
      <alignment horizontal="center" vertical="top"/>
    </xf>
    <xf numFmtId="0" fontId="0" fillId="22" borderId="0" xfId="0" applyFill="1" applyBorder="1" applyAlignment="1">
      <alignment vertical="top" wrapText="1"/>
    </xf>
    <xf numFmtId="0" fontId="7" fillId="22" borderId="0" xfId="0" applyFont="1" applyFill="1" applyAlignment="1">
      <alignment/>
    </xf>
    <xf numFmtId="0" fontId="0" fillId="0" borderId="14" xfId="0" applyBorder="1" applyAlignment="1" applyProtection="1">
      <alignment/>
      <protection locked="0"/>
    </xf>
    <xf numFmtId="0" fontId="0" fillId="0" borderId="13" xfId="0" applyBorder="1" applyAlignment="1" applyProtection="1">
      <alignment/>
      <protection locked="0"/>
    </xf>
    <xf numFmtId="0" fontId="0" fillId="0" borderId="13" xfId="0" applyBorder="1" applyAlignment="1" applyProtection="1">
      <alignment vertical="top"/>
      <protection locked="0"/>
    </xf>
    <xf numFmtId="0" fontId="0" fillId="0" borderId="13" xfId="0" applyBorder="1" applyAlignment="1" applyProtection="1">
      <alignment horizontal="center" vertical="top"/>
      <protection locked="0"/>
    </xf>
    <xf numFmtId="0" fontId="0" fillId="0" borderId="13" xfId="0" applyBorder="1" applyAlignment="1" applyProtection="1">
      <alignment vertical="top" wrapText="1"/>
      <protection locked="0"/>
    </xf>
    <xf numFmtId="0" fontId="0" fillId="8" borderId="13" xfId="0" applyFill="1" applyBorder="1" applyAlignment="1" applyProtection="1">
      <alignment vertical="top"/>
      <protection hidden="1"/>
    </xf>
    <xf numFmtId="0" fontId="0" fillId="27" borderId="13" xfId="0" applyFill="1" applyBorder="1" applyAlignment="1" applyProtection="1">
      <alignment vertical="top"/>
      <protection hidden="1"/>
    </xf>
    <xf numFmtId="0" fontId="2" fillId="20" borderId="13" xfId="0" applyFont="1" applyFill="1" applyBorder="1" applyAlignment="1">
      <alignment horizontal="left"/>
    </xf>
    <xf numFmtId="0" fontId="0" fillId="0" borderId="13" xfId="0" applyBorder="1" applyAlignment="1" applyProtection="1">
      <alignment horizontal="left"/>
      <protection locked="0"/>
    </xf>
    <xf numFmtId="0" fontId="0" fillId="0" borderId="15" xfId="0" applyBorder="1" applyAlignment="1" applyProtection="1">
      <alignment/>
      <protection locked="0"/>
    </xf>
    <xf numFmtId="0" fontId="0" fillId="0" borderId="16" xfId="0" applyBorder="1" applyAlignment="1" applyProtection="1">
      <alignment/>
      <protection locked="0"/>
    </xf>
    <xf numFmtId="0" fontId="0" fillId="27" borderId="15" xfId="0" applyFill="1" applyBorder="1" applyAlignment="1">
      <alignment/>
    </xf>
    <xf numFmtId="0" fontId="0" fillId="27" borderId="16" xfId="0" applyFill="1" applyBorder="1" applyAlignment="1">
      <alignment/>
    </xf>
    <xf numFmtId="0" fontId="0" fillId="27" borderId="13" xfId="0" applyFill="1" applyBorder="1" applyAlignment="1">
      <alignment horizontal="left"/>
    </xf>
    <xf numFmtId="0" fontId="0" fillId="22" borderId="0" xfId="0" applyFont="1" applyFill="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28" borderId="0" xfId="0" applyFill="1" applyAlignment="1">
      <alignment/>
    </xf>
    <xf numFmtId="0" fontId="0" fillId="0" borderId="0" xfId="0" applyFill="1" applyAlignment="1">
      <alignment/>
    </xf>
    <xf numFmtId="2" fontId="0" fillId="0" borderId="0" xfId="0" applyNumberFormat="1" applyAlignment="1">
      <alignment/>
    </xf>
    <xf numFmtId="2" fontId="0" fillId="0" borderId="0" xfId="0" applyNumberFormat="1" applyFont="1" applyAlignment="1">
      <alignment/>
    </xf>
    <xf numFmtId="2" fontId="0" fillId="0" borderId="0" xfId="0" applyNumberFormat="1" applyFill="1" applyAlignment="1">
      <alignment/>
    </xf>
    <xf numFmtId="0" fontId="0" fillId="29" borderId="0" xfId="0" applyFill="1" applyAlignment="1">
      <alignment/>
    </xf>
    <xf numFmtId="2" fontId="0" fillId="0" borderId="0" xfId="0" applyNumberFormat="1" applyFont="1" applyFill="1" applyAlignment="1">
      <alignment/>
    </xf>
    <xf numFmtId="2" fontId="0" fillId="0" borderId="0" xfId="0" applyNumberFormat="1" applyFill="1" applyAlignment="1">
      <alignment wrapText="1"/>
    </xf>
    <xf numFmtId="0" fontId="2" fillId="0" borderId="0" xfId="0" applyFont="1" applyAlignment="1">
      <alignment/>
    </xf>
    <xf numFmtId="0" fontId="0" fillId="0" borderId="0" xfId="0" applyAlignment="1">
      <alignment horizontal="left" indent="1"/>
    </xf>
    <xf numFmtId="0" fontId="9" fillId="0" borderId="0" xfId="54" applyAlignment="1" applyProtection="1">
      <alignment horizontal="left" indent="1"/>
      <protection/>
    </xf>
    <xf numFmtId="0" fontId="2" fillId="29" borderId="0" xfId="0" applyFont="1" applyFill="1" applyAlignment="1">
      <alignment/>
    </xf>
    <xf numFmtId="0" fontId="13" fillId="0" borderId="0" xfId="0" applyFont="1" applyAlignment="1">
      <alignment/>
    </xf>
    <xf numFmtId="0" fontId="2" fillId="22" borderId="0" xfId="0" applyFont="1" applyFill="1" applyAlignment="1">
      <alignment wrapText="1"/>
    </xf>
    <xf numFmtId="0" fontId="13" fillId="22" borderId="0" xfId="0" applyFont="1" applyFill="1" applyAlignment="1">
      <alignment/>
    </xf>
    <xf numFmtId="0" fontId="2" fillId="0" borderId="0" xfId="0" applyFont="1" applyAlignment="1">
      <alignment wrapText="1"/>
    </xf>
    <xf numFmtId="0" fontId="0" fillId="0" borderId="0" xfId="0" applyNumberFormat="1" applyFont="1" applyAlignment="1">
      <alignment wrapText="1"/>
    </xf>
    <xf numFmtId="49" fontId="0" fillId="0" borderId="17" xfId="0" applyNumberFormat="1" applyBorder="1" applyAlignment="1">
      <alignment/>
    </xf>
    <xf numFmtId="0" fontId="2" fillId="20" borderId="0" xfId="0" applyFont="1" applyFill="1" applyAlignment="1">
      <alignment horizontal="center"/>
    </xf>
    <xf numFmtId="0" fontId="2" fillId="0" borderId="18" xfId="0" applyFont="1" applyBorder="1" applyAlignment="1">
      <alignment/>
    </xf>
    <xf numFmtId="0" fontId="2" fillId="0" borderId="19" xfId="0" applyFont="1" applyBorder="1" applyAlignment="1">
      <alignment/>
    </xf>
    <xf numFmtId="0" fontId="2" fillId="0" borderId="0" xfId="0" applyFont="1" applyFill="1" applyAlignment="1">
      <alignment/>
    </xf>
    <xf numFmtId="0" fontId="2" fillId="0" borderId="20" xfId="0" applyFont="1" applyFill="1" applyBorder="1" applyAlignment="1">
      <alignment/>
    </xf>
    <xf numFmtId="182" fontId="2" fillId="0" borderId="21" xfId="42" applyNumberFormat="1" applyFont="1" applyBorder="1" applyAlignment="1">
      <alignment/>
    </xf>
    <xf numFmtId="0" fontId="2" fillId="0" borderId="22" xfId="0" applyFont="1" applyBorder="1" applyAlignment="1">
      <alignment/>
    </xf>
    <xf numFmtId="182" fontId="0" fillId="0" borderId="23" xfId="42" applyNumberFormat="1" applyFont="1" applyFill="1" applyBorder="1" applyAlignment="1">
      <alignment/>
    </xf>
    <xf numFmtId="0" fontId="2" fillId="0" borderId="21" xfId="0" applyFont="1" applyBorder="1" applyAlignment="1">
      <alignment/>
    </xf>
    <xf numFmtId="0" fontId="2" fillId="0" borderId="23" xfId="0" applyFont="1" applyFill="1" applyBorder="1" applyAlignment="1">
      <alignment/>
    </xf>
    <xf numFmtId="182" fontId="2" fillId="0" borderId="23" xfId="42" applyNumberFormat="1" applyFont="1" applyFill="1" applyBorder="1" applyAlignment="1">
      <alignment/>
    </xf>
    <xf numFmtId="0" fontId="2" fillId="0" borderId="24" xfId="0" applyFont="1" applyBorder="1" applyAlignment="1">
      <alignment/>
    </xf>
    <xf numFmtId="0" fontId="2" fillId="0" borderId="25" xfId="0" applyFont="1" applyBorder="1" applyAlignment="1">
      <alignment/>
    </xf>
    <xf numFmtId="182" fontId="2" fillId="0" borderId="24" xfId="42" applyNumberFormat="1" applyFont="1" applyBorder="1" applyAlignment="1">
      <alignment/>
    </xf>
    <xf numFmtId="0" fontId="2" fillId="0" borderId="26" xfId="0" applyFont="1" applyBorder="1" applyAlignment="1">
      <alignment/>
    </xf>
    <xf numFmtId="0" fontId="2" fillId="0" borderId="24" xfId="0" applyFont="1" applyFill="1" applyBorder="1" applyAlignment="1">
      <alignment/>
    </xf>
    <xf numFmtId="182" fontId="2" fillId="0" borderId="25" xfId="0" applyNumberFormat="1" applyFont="1" applyFill="1" applyBorder="1" applyAlignment="1">
      <alignment/>
    </xf>
    <xf numFmtId="182" fontId="2" fillId="0" borderId="27" xfId="42" applyNumberFormat="1" applyFont="1" applyFill="1" applyBorder="1" applyAlignment="1">
      <alignment/>
    </xf>
    <xf numFmtId="182" fontId="2" fillId="0" borderId="0" xfId="42" applyNumberFormat="1" applyFont="1" applyAlignment="1">
      <alignment/>
    </xf>
    <xf numFmtId="0" fontId="2" fillId="0" borderId="22" xfId="0" applyFont="1" applyFill="1" applyBorder="1" applyAlignment="1">
      <alignment/>
    </xf>
    <xf numFmtId="0" fontId="0" fillId="0" borderId="0" xfId="0" applyBorder="1" applyAlignment="1">
      <alignment/>
    </xf>
    <xf numFmtId="0" fontId="2" fillId="0" borderId="0" xfId="0" applyNumberFormat="1" applyFont="1" applyAlignment="1">
      <alignment/>
    </xf>
    <xf numFmtId="0" fontId="12" fillId="0" borderId="7" xfId="58" applyFont="1" applyFill="1" applyBorder="1" applyAlignment="1">
      <alignment horizontal="right" wrapText="1"/>
      <protection/>
    </xf>
    <xf numFmtId="0" fontId="12" fillId="0" borderId="7" xfId="58" applyFont="1" applyFill="1" applyBorder="1" applyAlignment="1">
      <alignment wrapText="1"/>
      <protection/>
    </xf>
    <xf numFmtId="0" fontId="39" fillId="0" borderId="0" xfId="58" applyFont="1" applyFill="1" applyBorder="1" applyAlignment="1">
      <alignment wrapText="1"/>
      <protection/>
    </xf>
    <xf numFmtId="0" fontId="0" fillId="0" borderId="28" xfId="0" applyBorder="1" applyAlignment="1">
      <alignment/>
    </xf>
    <xf numFmtId="0" fontId="0" fillId="0" borderId="29" xfId="0" applyBorder="1" applyAlignment="1">
      <alignment/>
    </xf>
    <xf numFmtId="3" fontId="5" fillId="0" borderId="0" xfId="0" applyNumberFormat="1" applyFont="1" applyFill="1" applyBorder="1" applyAlignment="1">
      <alignment vertical="center"/>
    </xf>
    <xf numFmtId="0" fontId="14" fillId="0" borderId="0" xfId="0" applyFont="1" applyAlignment="1">
      <alignment/>
    </xf>
    <xf numFmtId="0" fontId="12" fillId="30" borderId="30" xfId="59" applyFont="1" applyFill="1" applyBorder="1" applyAlignment="1">
      <alignment horizontal="center" wrapText="1"/>
      <protection/>
    </xf>
    <xf numFmtId="0" fontId="12" fillId="0" borderId="7" xfId="59" applyFont="1" applyFill="1" applyBorder="1" applyAlignment="1">
      <alignment wrapText="1"/>
      <protection/>
    </xf>
    <xf numFmtId="0" fontId="12" fillId="0" borderId="7" xfId="59" applyFont="1" applyFill="1" applyBorder="1" applyAlignment="1">
      <alignment horizontal="right" wrapText="1"/>
      <protection/>
    </xf>
    <xf numFmtId="0" fontId="12" fillId="0" borderId="0" xfId="59">
      <alignment/>
      <protection/>
    </xf>
    <xf numFmtId="3" fontId="0" fillId="0" borderId="0" xfId="0" applyNumberFormat="1" applyAlignment="1">
      <alignment/>
    </xf>
    <xf numFmtId="1" fontId="0" fillId="0" borderId="13" xfId="0" applyNumberFormat="1" applyBorder="1" applyAlignment="1" applyProtection="1">
      <alignment/>
      <protection locked="0"/>
    </xf>
    <xf numFmtId="185" fontId="0" fillId="0" borderId="13" xfId="0" applyNumberFormat="1" applyBorder="1" applyAlignment="1" applyProtection="1">
      <alignment/>
      <protection locked="0"/>
    </xf>
    <xf numFmtId="0" fontId="0" fillId="0" borderId="0" xfId="0" applyAlignment="1">
      <alignment horizontal="center"/>
    </xf>
    <xf numFmtId="169" fontId="0" fillId="0" borderId="0" xfId="0" applyNumberFormat="1" applyAlignment="1">
      <alignment/>
    </xf>
    <xf numFmtId="175" fontId="0" fillId="0" borderId="0" xfId="0" applyNumberFormat="1" applyAlignment="1">
      <alignment/>
    </xf>
    <xf numFmtId="0" fontId="12" fillId="0" borderId="0" xfId="0" applyFont="1" applyFill="1" applyBorder="1" applyAlignment="1" applyProtection="1">
      <alignment/>
      <protection locked="0"/>
    </xf>
    <xf numFmtId="0" fontId="0" fillId="0" borderId="0" xfId="0" applyFont="1" applyFill="1" applyBorder="1" applyAlignment="1">
      <alignment/>
    </xf>
    <xf numFmtId="0" fontId="2" fillId="0" borderId="0" xfId="0" applyFont="1" applyFill="1" applyBorder="1" applyAlignment="1">
      <alignment/>
    </xf>
    <xf numFmtId="0" fontId="12" fillId="0" borderId="0" xfId="0" applyFont="1" applyBorder="1" applyAlignment="1" applyProtection="1">
      <alignment/>
      <protection locked="0"/>
    </xf>
    <xf numFmtId="0" fontId="12" fillId="0" borderId="0" xfId="0" applyNumberFormat="1" applyFont="1" applyBorder="1" applyAlignment="1" applyProtection="1">
      <alignment/>
      <protection locked="0"/>
    </xf>
    <xf numFmtId="0" fontId="12" fillId="0" borderId="0" xfId="0" applyFont="1" applyBorder="1" applyAlignment="1" applyProtection="1">
      <alignment horizontal="left"/>
      <protection locked="0"/>
    </xf>
    <xf numFmtId="164" fontId="0" fillId="0" borderId="0" xfId="0" applyNumberFormat="1" applyAlignment="1">
      <alignment/>
    </xf>
    <xf numFmtId="0" fontId="14" fillId="0" borderId="0" xfId="0" applyFont="1" applyBorder="1" applyAlignment="1">
      <alignment/>
    </xf>
    <xf numFmtId="0" fontId="41" fillId="0" borderId="0" xfId="0" applyFont="1" applyBorder="1" applyAlignment="1">
      <alignment/>
    </xf>
    <xf numFmtId="168" fontId="0" fillId="0" borderId="13" xfId="0" applyNumberFormat="1" applyBorder="1" applyAlignment="1" applyProtection="1">
      <alignment/>
      <protection locked="0"/>
    </xf>
    <xf numFmtId="0" fontId="0" fillId="0" borderId="13" xfId="0" applyNumberFormat="1" applyBorder="1" applyAlignment="1" applyProtection="1">
      <alignment/>
      <protection locked="0"/>
    </xf>
    <xf numFmtId="0" fontId="0" fillId="0" borderId="0" xfId="0" applyAlignment="1" quotePrefix="1">
      <alignment horizontal="center"/>
    </xf>
    <xf numFmtId="0" fontId="0" fillId="0" borderId="0" xfId="0" applyFill="1" applyBorder="1" applyAlignment="1">
      <alignment/>
    </xf>
    <xf numFmtId="0" fontId="34" fillId="0" borderId="0" xfId="0" applyFont="1" applyFill="1" applyBorder="1" applyAlignment="1">
      <alignment wrapText="1"/>
    </xf>
    <xf numFmtId="0" fontId="34"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5" fillId="0" borderId="0" xfId="0" applyFont="1" applyFill="1" applyBorder="1" applyAlignment="1">
      <alignment horizontal="left" vertical="center"/>
    </xf>
    <xf numFmtId="9" fontId="5" fillId="0" borderId="0" xfId="62" applyFont="1" applyFill="1" applyBorder="1" applyAlignment="1">
      <alignment vertical="center"/>
    </xf>
    <xf numFmtId="176" fontId="5" fillId="0" borderId="0" xfId="0" applyNumberFormat="1" applyFont="1" applyFill="1" applyBorder="1" applyAlignment="1">
      <alignment wrapText="1"/>
    </xf>
    <xf numFmtId="0" fontId="42" fillId="28" borderId="0" xfId="0" applyFont="1" applyFill="1" applyAlignment="1">
      <alignment/>
    </xf>
    <xf numFmtId="4" fontId="0" fillId="0" borderId="0" xfId="0" applyNumberFormat="1" applyFont="1" applyFill="1" applyBorder="1" applyAlignment="1">
      <alignment/>
    </xf>
    <xf numFmtId="0" fontId="33" fillId="0" borderId="0" xfId="0" applyFont="1" applyFill="1" applyAlignment="1">
      <alignment horizontal="left"/>
    </xf>
    <xf numFmtId="0" fontId="0" fillId="8" borderId="13" xfId="0" applyFill="1" applyBorder="1" applyAlignment="1" applyProtection="1">
      <alignment vertical="top"/>
      <protection locked="0"/>
    </xf>
    <xf numFmtId="0" fontId="2" fillId="7" borderId="0" xfId="0" applyFont="1" applyFill="1" applyAlignment="1" applyProtection="1">
      <alignment horizontal="center" vertical="top" wrapText="1"/>
      <protection hidden="1"/>
    </xf>
    <xf numFmtId="180" fontId="2" fillId="29" borderId="0" xfId="0" applyNumberFormat="1" applyFont="1" applyFill="1" applyAlignment="1">
      <alignment/>
    </xf>
    <xf numFmtId="183" fontId="2" fillId="29" borderId="0" xfId="0" applyNumberFormat="1" applyFont="1" applyFill="1" applyAlignment="1">
      <alignment/>
    </xf>
    <xf numFmtId="184" fontId="2" fillId="29" borderId="0" xfId="0" applyNumberFormat="1" applyFont="1" applyFill="1" applyAlignment="1">
      <alignment/>
    </xf>
    <xf numFmtId="182" fontId="2" fillId="0" borderId="0" xfId="0" applyNumberFormat="1" applyFont="1" applyAlignment="1">
      <alignment/>
    </xf>
    <xf numFmtId="184" fontId="2" fillId="0" borderId="0" xfId="0" applyNumberFormat="1" applyFont="1" applyFill="1" applyAlignment="1">
      <alignment/>
    </xf>
    <xf numFmtId="0" fontId="43" fillId="0" borderId="0" xfId="0" applyFont="1" applyAlignment="1">
      <alignment/>
    </xf>
    <xf numFmtId="182" fontId="0" fillId="0" borderId="31" xfId="42" applyNumberFormat="1" applyFont="1" applyFill="1" applyBorder="1" applyAlignment="1">
      <alignment/>
    </xf>
    <xf numFmtId="182" fontId="2" fillId="0" borderId="32" xfId="42" applyNumberFormat="1" applyFont="1" applyBorder="1" applyAlignment="1">
      <alignment/>
    </xf>
    <xf numFmtId="0" fontId="2" fillId="0" borderId="33" xfId="0" applyFont="1" applyBorder="1" applyAlignment="1">
      <alignment/>
    </xf>
    <xf numFmtId="186" fontId="2" fillId="29" borderId="0" xfId="0" applyNumberFormat="1" applyFont="1" applyFill="1" applyAlignment="1">
      <alignment/>
    </xf>
    <xf numFmtId="0" fontId="0" fillId="27" borderId="13" xfId="0" applyFont="1" applyFill="1" applyBorder="1" applyAlignment="1">
      <alignment vertical="top"/>
    </xf>
    <xf numFmtId="0" fontId="0" fillId="0" borderId="13" xfId="0" applyFont="1" applyBorder="1" applyAlignment="1" applyProtection="1">
      <alignment vertical="top"/>
      <protection locked="0"/>
    </xf>
    <xf numFmtId="0" fontId="44" fillId="0" borderId="0" xfId="0" applyFont="1" applyAlignment="1">
      <alignment/>
    </xf>
    <xf numFmtId="0" fontId="2" fillId="8" borderId="33" xfId="0" applyFont="1" applyFill="1" applyBorder="1" applyAlignment="1">
      <alignment horizontal="center"/>
    </xf>
    <xf numFmtId="0" fontId="8" fillId="0" borderId="33" xfId="0" applyFont="1" applyBorder="1" applyAlignment="1">
      <alignment wrapText="1"/>
    </xf>
    <xf numFmtId="0" fontId="46" fillId="0" borderId="33" xfId="0" applyFont="1" applyBorder="1" applyAlignment="1">
      <alignment wrapText="1"/>
    </xf>
    <xf numFmtId="0" fontId="2" fillId="0" borderId="31" xfId="0" applyFont="1" applyBorder="1" applyAlignment="1">
      <alignment wrapText="1"/>
    </xf>
    <xf numFmtId="0" fontId="45" fillId="0" borderId="0" xfId="0" applyFont="1" applyAlignment="1">
      <alignment/>
    </xf>
    <xf numFmtId="0" fontId="0" fillId="0" borderId="0" xfId="0" applyFont="1" applyAlignment="1">
      <alignment horizontal="left" wrapText="1"/>
    </xf>
    <xf numFmtId="0" fontId="0" fillId="0" borderId="13" xfId="0" applyFont="1" applyBorder="1" applyAlignment="1">
      <alignment/>
    </xf>
    <xf numFmtId="0" fontId="0" fillId="0" borderId="13" xfId="0" applyBorder="1" applyAlignment="1">
      <alignment/>
    </xf>
    <xf numFmtId="0" fontId="0" fillId="0" borderId="13" xfId="0" applyFont="1" applyBorder="1" applyAlignment="1" applyProtection="1">
      <alignment vertical="top" wrapText="1"/>
      <protection locked="0"/>
    </xf>
    <xf numFmtId="0" fontId="0" fillId="0" borderId="34" xfId="0" applyFont="1" applyBorder="1" applyAlignment="1" applyProtection="1">
      <alignment/>
      <protection locked="0"/>
    </xf>
    <xf numFmtId="0" fontId="47" fillId="0" borderId="0" xfId="0" applyFont="1" applyAlignment="1">
      <alignment/>
    </xf>
    <xf numFmtId="0" fontId="48" fillId="0" borderId="0" xfId="0" applyFont="1" applyAlignment="1">
      <alignment/>
    </xf>
    <xf numFmtId="0" fontId="56" fillId="0" borderId="0" xfId="0" applyFont="1" applyAlignment="1">
      <alignment horizontal="center"/>
    </xf>
    <xf numFmtId="0" fontId="33" fillId="0" borderId="0" xfId="0" applyFont="1" applyFill="1" applyAlignment="1">
      <alignment/>
    </xf>
    <xf numFmtId="0" fontId="48" fillId="0" borderId="0" xfId="0" applyFont="1" applyFill="1" applyAlignment="1">
      <alignment/>
    </xf>
    <xf numFmtId="0" fontId="5" fillId="0" borderId="0" xfId="0" applyFont="1" applyFill="1" applyAlignment="1">
      <alignment/>
    </xf>
    <xf numFmtId="0" fontId="2" fillId="31" borderId="0" xfId="0" applyFont="1" applyFill="1" applyAlignment="1">
      <alignment/>
    </xf>
    <xf numFmtId="0" fontId="56" fillId="0" borderId="0" xfId="0" applyFont="1" applyFill="1" applyAlignment="1">
      <alignment horizontal="center"/>
    </xf>
    <xf numFmtId="0" fontId="5" fillId="0" borderId="0" xfId="0" applyFont="1" applyFill="1" applyBorder="1" applyAlignment="1">
      <alignment/>
    </xf>
    <xf numFmtId="0" fontId="0" fillId="0" borderId="0" xfId="0" applyFont="1" applyFill="1" applyAlignment="1">
      <alignment horizontal="left"/>
    </xf>
    <xf numFmtId="0" fontId="47"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0" fillId="0" borderId="0" xfId="0" applyFont="1" applyBorder="1" applyAlignment="1">
      <alignment/>
    </xf>
    <xf numFmtId="0" fontId="12" fillId="0" borderId="0" xfId="0" applyFont="1" applyBorder="1" applyAlignment="1" applyProtection="1">
      <alignment/>
      <protection locked="0"/>
    </xf>
    <xf numFmtId="0" fontId="12" fillId="0" borderId="0" xfId="0" applyFont="1" applyFill="1" applyBorder="1" applyAlignment="1" applyProtection="1">
      <alignment/>
      <protection locked="0"/>
    </xf>
    <xf numFmtId="0" fontId="12" fillId="0" borderId="0" xfId="0" applyNumberFormat="1" applyFont="1" applyFill="1" applyBorder="1" applyAlignment="1" applyProtection="1">
      <alignment/>
      <protection locked="0"/>
    </xf>
    <xf numFmtId="0" fontId="12" fillId="0" borderId="0" xfId="0" applyNumberFormat="1" applyFont="1" applyBorder="1" applyAlignment="1" applyProtection="1">
      <alignment/>
      <protection locked="0"/>
    </xf>
    <xf numFmtId="164" fontId="2" fillId="0" borderId="0" xfId="0" applyNumberFormat="1" applyFont="1" applyFill="1" applyAlignment="1">
      <alignment/>
    </xf>
    <xf numFmtId="0" fontId="2" fillId="0" borderId="35" xfId="0" applyFont="1" applyBorder="1" applyAlignment="1">
      <alignment/>
    </xf>
    <xf numFmtId="0" fontId="0" fillId="0" borderId="35" xfId="0" applyFont="1" applyBorder="1" applyAlignment="1">
      <alignment/>
    </xf>
    <xf numFmtId="49" fontId="0" fillId="0" borderId="0" xfId="0" applyNumberFormat="1" applyBorder="1" applyAlignment="1">
      <alignment/>
    </xf>
    <xf numFmtId="0" fontId="0" fillId="0" borderId="36" xfId="0" applyBorder="1" applyAlignment="1">
      <alignment/>
    </xf>
    <xf numFmtId="49" fontId="0" fillId="0" borderId="36" xfId="0" applyNumberFormat="1" applyBorder="1" applyAlignment="1">
      <alignment/>
    </xf>
    <xf numFmtId="2" fontId="2" fillId="0" borderId="0" xfId="0" applyNumberFormat="1" applyFont="1" applyAlignment="1">
      <alignment/>
    </xf>
    <xf numFmtId="2" fontId="0" fillId="31" borderId="0" xfId="0" applyNumberFormat="1" applyFill="1" applyAlignment="1">
      <alignment/>
    </xf>
    <xf numFmtId="185" fontId="0" fillId="31" borderId="0" xfId="0" applyNumberFormat="1" applyFill="1" applyAlignment="1">
      <alignment/>
    </xf>
    <xf numFmtId="0" fontId="0" fillId="31" borderId="0" xfId="0" applyFill="1" applyAlignment="1">
      <alignment/>
    </xf>
    <xf numFmtId="0" fontId="0" fillId="0" borderId="13" xfId="0" applyFont="1" applyBorder="1" applyAlignment="1" applyProtection="1">
      <alignment/>
      <protection locked="0"/>
    </xf>
    <xf numFmtId="0" fontId="0" fillId="0" borderId="15" xfId="0" applyFont="1" applyBorder="1" applyAlignment="1" applyProtection="1">
      <alignment/>
      <protection locked="0"/>
    </xf>
    <xf numFmtId="0" fontId="0" fillId="22" borderId="0" xfId="0" applyFill="1" applyAlignment="1">
      <alignment horizontal="right"/>
    </xf>
    <xf numFmtId="0" fontId="0" fillId="0" borderId="24" xfId="0" applyFill="1" applyBorder="1" applyAlignment="1">
      <alignment/>
    </xf>
    <xf numFmtId="0" fontId="0" fillId="0" borderId="26" xfId="0" applyFill="1" applyBorder="1" applyAlignment="1">
      <alignment/>
    </xf>
    <xf numFmtId="0" fontId="0" fillId="0" borderId="0" xfId="0" applyFont="1" applyAlignment="1">
      <alignment/>
    </xf>
    <xf numFmtId="0" fontId="0" fillId="0" borderId="0" xfId="0" applyFont="1" applyAlignment="1">
      <alignment horizontal="center"/>
    </xf>
    <xf numFmtId="0" fontId="0" fillId="0" borderId="0" xfId="0" applyBorder="1" applyAlignment="1" applyProtection="1">
      <alignment vertical="top"/>
      <protection locked="0"/>
    </xf>
    <xf numFmtId="0" fontId="0" fillId="0" borderId="0" xfId="0" applyFill="1" applyBorder="1" applyAlignment="1" applyProtection="1">
      <alignment vertical="top"/>
      <protection locked="0"/>
    </xf>
    <xf numFmtId="10" fontId="0" fillId="0" borderId="0" xfId="0" applyNumberFormat="1" applyAlignment="1">
      <alignment/>
    </xf>
    <xf numFmtId="0" fontId="0" fillId="0" borderId="0" xfId="0" applyFont="1" applyFill="1" applyBorder="1" applyAlignment="1" applyProtection="1">
      <alignment horizontal="right" vertical="top"/>
      <protection locked="0"/>
    </xf>
    <xf numFmtId="0" fontId="57" fillId="0" borderId="0" xfId="0" applyFont="1" applyFill="1" applyBorder="1" applyAlignment="1" applyProtection="1">
      <alignment vertical="top"/>
      <protection locked="0"/>
    </xf>
    <xf numFmtId="0" fontId="57" fillId="0" borderId="0" xfId="0" applyFont="1" applyFill="1" applyAlignment="1">
      <alignment/>
    </xf>
    <xf numFmtId="181" fontId="58" fillId="0" borderId="0" xfId="0" applyNumberFormat="1" applyFont="1" applyFill="1" applyAlignment="1">
      <alignment/>
    </xf>
    <xf numFmtId="10" fontId="58" fillId="0" borderId="0" xfId="0" applyNumberFormat="1" applyFont="1" applyFill="1" applyAlignment="1">
      <alignment/>
    </xf>
    <xf numFmtId="0" fontId="0" fillId="22" borderId="0" xfId="0" applyFont="1" applyFill="1" applyAlignment="1">
      <alignment/>
    </xf>
    <xf numFmtId="0" fontId="13" fillId="22" borderId="0" xfId="0" applyFont="1" applyFill="1" applyAlignment="1">
      <alignment horizontal="center"/>
    </xf>
    <xf numFmtId="0" fontId="0" fillId="0" borderId="0" xfId="0" applyFont="1" applyFill="1" applyAlignment="1">
      <alignment vertical="top" wrapText="1"/>
    </xf>
    <xf numFmtId="0" fontId="0" fillId="0" borderId="0" xfId="54" applyFont="1" applyFill="1" applyAlignment="1" applyProtection="1">
      <alignment vertical="top" wrapText="1"/>
      <protection locked="0"/>
    </xf>
    <xf numFmtId="0" fontId="0" fillId="0" borderId="0" xfId="0" applyFont="1" applyFill="1" applyAlignment="1" applyProtection="1">
      <alignment vertical="top" wrapText="1"/>
      <protection locked="0"/>
    </xf>
    <xf numFmtId="0" fontId="9" fillId="0" borderId="0" xfId="54" applyFill="1" applyAlignment="1" applyProtection="1">
      <alignment/>
      <protection locked="0"/>
    </xf>
    <xf numFmtId="0" fontId="9" fillId="0" borderId="0" xfId="54" applyFont="1" applyFill="1" applyAlignment="1" applyProtection="1">
      <alignment/>
      <protection locked="0"/>
    </xf>
    <xf numFmtId="0" fontId="0" fillId="32" borderId="0" xfId="0" applyFill="1" applyAlignment="1">
      <alignment vertical="top" wrapText="1"/>
    </xf>
    <xf numFmtId="0" fontId="0" fillId="32" borderId="0" xfId="0" applyFill="1" applyAlignment="1" applyProtection="1">
      <alignment vertical="top" wrapText="1"/>
      <protection locked="0"/>
    </xf>
    <xf numFmtId="0" fontId="0" fillId="32" borderId="0" xfId="0" applyFont="1" applyFill="1" applyAlignment="1" applyProtection="1">
      <alignment vertical="top" wrapText="1"/>
      <protection locked="0"/>
    </xf>
    <xf numFmtId="0" fontId="0" fillId="32" borderId="0" xfId="0" applyFill="1" applyAlignment="1" applyProtection="1">
      <alignment/>
      <protection locked="0"/>
    </xf>
    <xf numFmtId="0" fontId="13" fillId="32" borderId="0" xfId="0" applyFont="1" applyFill="1" applyAlignment="1" applyProtection="1">
      <alignment/>
      <protection locked="0"/>
    </xf>
    <xf numFmtId="49" fontId="0" fillId="32" borderId="0" xfId="0" applyNumberFormat="1" applyFill="1" applyAlignment="1" applyProtection="1">
      <alignment vertical="top" wrapText="1"/>
      <protection locked="0"/>
    </xf>
    <xf numFmtId="49" fontId="0" fillId="32" borderId="0" xfId="0" applyNumberFormat="1" applyFill="1" applyAlignment="1" applyProtection="1">
      <alignment/>
      <protection locked="0"/>
    </xf>
    <xf numFmtId="0" fontId="13" fillId="32" borderId="0" xfId="0" applyFont="1" applyFill="1" applyAlignment="1" applyProtection="1">
      <alignment vertical="top" wrapText="1"/>
      <protection locked="0"/>
    </xf>
    <xf numFmtId="0" fontId="0" fillId="32" borderId="0" xfId="0" applyFont="1" applyFill="1" applyAlignment="1" applyProtection="1">
      <alignment/>
      <protection locked="0"/>
    </xf>
    <xf numFmtId="0" fontId="11" fillId="20" borderId="0" xfId="0" applyFont="1" applyFill="1" applyAlignment="1">
      <alignment horizontal="left" vertical="top" wrapText="1"/>
    </xf>
    <xf numFmtId="0" fontId="0" fillId="20" borderId="0" xfId="0" applyFill="1" applyAlignment="1">
      <alignment horizontal="left" vertical="top" wrapText="1"/>
    </xf>
    <xf numFmtId="0" fontId="2" fillId="7" borderId="0" xfId="0" applyFont="1" applyFill="1" applyAlignment="1" applyProtection="1">
      <alignment horizontal="left" vertical="top" wrapText="1"/>
      <protection hidden="1"/>
    </xf>
    <xf numFmtId="0" fontId="0" fillId="0" borderId="0" xfId="0" applyFill="1" applyAlignment="1" applyProtection="1">
      <alignment horizontal="left" vertical="top" wrapText="1"/>
      <protection locked="0"/>
    </xf>
    <xf numFmtId="0" fontId="0" fillId="0" borderId="0" xfId="0" applyFont="1" applyFill="1" applyAlignment="1" applyProtection="1">
      <alignment horizontal="left" vertical="top" wrapText="1"/>
      <protection locked="0"/>
    </xf>
    <xf numFmtId="0" fontId="12" fillId="0" borderId="0" xfId="0" applyFont="1" applyFill="1" applyAlignment="1" applyProtection="1">
      <alignment horizontal="left" vertical="top" wrapText="1"/>
      <protection locked="0"/>
    </xf>
    <xf numFmtId="0" fontId="0" fillId="32" borderId="0" xfId="0" applyFill="1" applyAlignment="1" applyProtection="1">
      <alignment horizontal="left" vertical="top" wrapText="1"/>
      <protection locked="0"/>
    </xf>
    <xf numFmtId="0" fontId="0" fillId="32" borderId="0" xfId="0" applyFont="1" applyFill="1" applyAlignment="1" applyProtection="1">
      <alignment horizontal="left" vertical="top" wrapText="1"/>
      <protection locked="0"/>
    </xf>
    <xf numFmtId="49" fontId="0" fillId="0" borderId="0" xfId="0" applyNumberForma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0" fontId="0" fillId="32" borderId="0" xfId="54" applyFont="1" applyFill="1" applyAlignment="1" applyProtection="1">
      <alignment horizontal="left" vertical="top" wrapText="1"/>
      <protection locked="0"/>
    </xf>
    <xf numFmtId="49" fontId="0" fillId="32" borderId="0" xfId="0" applyNumberFormat="1" applyFill="1" applyAlignment="1" applyProtection="1">
      <alignment horizontal="left" vertical="top" wrapText="1"/>
      <protection locked="0"/>
    </xf>
    <xf numFmtId="0" fontId="12" fillId="32" borderId="0" xfId="0" applyFont="1" applyFill="1" applyAlignment="1" applyProtection="1">
      <alignment horizontal="left"/>
      <protection locked="0"/>
    </xf>
    <xf numFmtId="0" fontId="0" fillId="0" borderId="0" xfId="54" applyFont="1" applyFill="1" applyAlignment="1" applyProtection="1">
      <alignment horizontal="left" vertical="top" wrapText="1"/>
      <protection locked="0"/>
    </xf>
    <xf numFmtId="0" fontId="9" fillId="0" borderId="0" xfId="54" applyFill="1" applyAlignment="1" applyProtection="1">
      <alignment horizontal="left" vertical="top" wrapText="1"/>
      <protection locked="0"/>
    </xf>
    <xf numFmtId="49" fontId="0" fillId="32" borderId="0" xfId="0" applyNumberFormat="1" applyFont="1" applyFill="1" applyAlignment="1" applyProtection="1">
      <alignment horizontal="left" vertical="top" wrapText="1"/>
      <protection locked="0"/>
    </xf>
    <xf numFmtId="0" fontId="13" fillId="32" borderId="0" xfId="0" applyFont="1" applyFill="1" applyAlignment="1" applyProtection="1">
      <alignment horizontal="left" vertical="top" wrapText="1"/>
      <protection locked="0"/>
    </xf>
    <xf numFmtId="0" fontId="0" fillId="21" borderId="0" xfId="0" applyFill="1" applyAlignment="1">
      <alignment horizontal="left" vertical="top" wrapText="1"/>
    </xf>
    <xf numFmtId="0" fontId="0" fillId="0" borderId="0" xfId="0" applyAlignment="1">
      <alignment horizontal="left" vertical="top" wrapText="1"/>
    </xf>
    <xf numFmtId="0" fontId="2" fillId="0" borderId="0" xfId="0" applyFont="1" applyAlignment="1">
      <alignment horizontal="left" vertical="top" wrapText="1"/>
    </xf>
    <xf numFmtId="0" fontId="7" fillId="0" borderId="0" xfId="0" applyFont="1" applyAlignment="1">
      <alignment horizontal="left"/>
    </xf>
    <xf numFmtId="0" fontId="0" fillId="0" borderId="0" xfId="0" applyAlignment="1">
      <alignment horizontal="left"/>
    </xf>
    <xf numFmtId="0" fontId="0" fillId="0" borderId="0" xfId="54" applyFont="1" applyFill="1" applyAlignment="1" applyProtection="1">
      <alignment vertical="top"/>
      <protection locked="0"/>
    </xf>
    <xf numFmtId="0" fontId="14" fillId="0" borderId="0" xfId="0" applyFont="1" applyFill="1" applyAlignment="1">
      <alignment/>
    </xf>
    <xf numFmtId="0" fontId="0" fillId="0" borderId="0" xfId="0" applyFont="1" applyFill="1" applyBorder="1" applyAlignment="1">
      <alignment horizontal="left"/>
    </xf>
    <xf numFmtId="0" fontId="2" fillId="0" borderId="0" xfId="0" applyFont="1" applyFill="1" applyBorder="1" applyAlignment="1">
      <alignment horizontal="left" vertical="center" wrapText="1"/>
    </xf>
    <xf numFmtId="172" fontId="2" fillId="0" borderId="0" xfId="0" applyNumberFormat="1"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28" borderId="0" xfId="0" applyFont="1" applyFill="1" applyAlignment="1">
      <alignment/>
    </xf>
    <xf numFmtId="173" fontId="2" fillId="0" borderId="0" xfId="0" applyNumberFormat="1" applyFont="1" applyFill="1" applyBorder="1" applyAlignment="1">
      <alignment vertical="center"/>
    </xf>
    <xf numFmtId="0" fontId="2" fillId="28" borderId="13" xfId="0" applyFont="1" applyFill="1" applyBorder="1" applyAlignment="1">
      <alignment wrapText="1"/>
    </xf>
    <xf numFmtId="0" fontId="2" fillId="28" borderId="13" xfId="0" applyFont="1" applyFill="1" applyBorder="1" applyAlignment="1">
      <alignment horizontal="left" wrapText="1"/>
    </xf>
    <xf numFmtId="173" fontId="2" fillId="31" borderId="0" xfId="0" applyNumberFormat="1" applyFont="1" applyFill="1" applyBorder="1" applyAlignment="1">
      <alignment vertical="center"/>
    </xf>
    <xf numFmtId="0" fontId="0" fillId="28" borderId="13" xfId="0" applyFont="1" applyFill="1" applyBorder="1" applyAlignment="1">
      <alignment vertical="center" wrapText="1"/>
    </xf>
    <xf numFmtId="3" fontId="0" fillId="4" borderId="13" xfId="0" applyNumberFormat="1" applyFont="1" applyFill="1" applyBorder="1" applyAlignment="1">
      <alignment vertical="center"/>
    </xf>
    <xf numFmtId="0" fontId="0" fillId="28" borderId="13" xfId="0" applyFont="1" applyFill="1" applyBorder="1" applyAlignment="1">
      <alignment vertical="center"/>
    </xf>
    <xf numFmtId="0" fontId="0" fillId="28" borderId="13" xfId="0" applyFont="1" applyFill="1" applyBorder="1" applyAlignment="1">
      <alignment horizontal="left" vertical="center"/>
    </xf>
    <xf numFmtId="0" fontId="0" fillId="28" borderId="13" xfId="0" applyFont="1" applyFill="1" applyBorder="1" applyAlignment="1">
      <alignment horizontal="left" vertical="center" wrapText="1"/>
    </xf>
    <xf numFmtId="0" fontId="0" fillId="0" borderId="0" xfId="0" applyFont="1" applyFill="1" applyBorder="1" applyAlignment="1">
      <alignment horizontal="left" vertical="center" wrapText="1"/>
    </xf>
    <xf numFmtId="3" fontId="0" fillId="0" borderId="0" xfId="0" applyNumberFormat="1" applyFont="1" applyFill="1" applyBorder="1" applyAlignment="1">
      <alignment vertical="center"/>
    </xf>
    <xf numFmtId="0" fontId="0" fillId="0" borderId="0" xfId="0" applyFont="1" applyFill="1" applyBorder="1" applyAlignment="1">
      <alignment horizontal="left" vertical="center"/>
    </xf>
    <xf numFmtId="0" fontId="0" fillId="28" borderId="13" xfId="0" applyFont="1" applyFill="1" applyBorder="1" applyAlignment="1">
      <alignment/>
    </xf>
    <xf numFmtId="170" fontId="0" fillId="8" borderId="13" xfId="0" applyNumberFormat="1" applyFont="1" applyFill="1" applyBorder="1" applyAlignment="1">
      <alignment/>
    </xf>
    <xf numFmtId="0" fontId="0" fillId="8" borderId="13" xfId="0" applyFont="1" applyFill="1" applyBorder="1" applyAlignment="1">
      <alignment/>
    </xf>
    <xf numFmtId="41" fontId="0" fillId="8" borderId="13" xfId="0" applyNumberFormat="1" applyFont="1" applyFill="1" applyBorder="1" applyAlignment="1">
      <alignment horizontal="left"/>
    </xf>
    <xf numFmtId="171" fontId="0" fillId="8" borderId="13" xfId="0" applyNumberFormat="1" applyFont="1" applyFill="1" applyBorder="1" applyAlignment="1">
      <alignment/>
    </xf>
    <xf numFmtId="3" fontId="0" fillId="8" borderId="13" xfId="0" applyNumberFormat="1" applyFont="1" applyFill="1" applyBorder="1" applyAlignment="1">
      <alignment/>
    </xf>
    <xf numFmtId="0" fontId="0" fillId="0" borderId="0" xfId="0" applyNumberFormat="1" applyFont="1" applyAlignment="1">
      <alignment/>
    </xf>
    <xf numFmtId="0" fontId="0" fillId="33" borderId="0" xfId="0" applyFont="1" applyFill="1" applyBorder="1" applyAlignment="1">
      <alignment/>
    </xf>
    <xf numFmtId="49" fontId="0" fillId="0" borderId="17" xfId="0" applyNumberFormat="1" applyFont="1" applyBorder="1" applyAlignment="1">
      <alignment/>
    </xf>
    <xf numFmtId="0" fontId="0" fillId="0" borderId="17" xfId="0" applyNumberFormat="1" applyFont="1" applyBorder="1" applyAlignment="1">
      <alignment/>
    </xf>
    <xf numFmtId="49" fontId="0" fillId="33" borderId="17" xfId="0" applyNumberFormat="1" applyFont="1" applyFill="1" applyBorder="1" applyAlignment="1">
      <alignment/>
    </xf>
    <xf numFmtId="49" fontId="0" fillId="22" borderId="17" xfId="0" applyNumberFormat="1" applyFont="1" applyFill="1" applyBorder="1" applyAlignment="1">
      <alignment/>
    </xf>
    <xf numFmtId="182" fontId="0" fillId="22" borderId="0" xfId="42" applyNumberFormat="1" applyFont="1" applyFill="1" applyAlignment="1">
      <alignment/>
    </xf>
    <xf numFmtId="1" fontId="0" fillId="0" borderId="0" xfId="0" applyNumberFormat="1" applyFont="1" applyAlignment="1">
      <alignment/>
    </xf>
    <xf numFmtId="0" fontId="0" fillId="28" borderId="35" xfId="0" applyFont="1" applyFill="1" applyBorder="1" applyAlignment="1">
      <alignment/>
    </xf>
    <xf numFmtId="0" fontId="0" fillId="28" borderId="0" xfId="0" applyNumberFormat="1" applyFont="1" applyFill="1" applyAlignment="1">
      <alignment/>
    </xf>
    <xf numFmtId="2" fontId="0" fillId="28" borderId="0" xfId="0" applyNumberFormat="1" applyFont="1" applyFill="1" applyAlignment="1">
      <alignment/>
    </xf>
    <xf numFmtId="0" fontId="0" fillId="20" borderId="0" xfId="0" applyFont="1" applyFill="1" applyBorder="1" applyAlignment="1">
      <alignment horizontal="right"/>
    </xf>
    <xf numFmtId="182" fontId="0" fillId="0" borderId="0" xfId="0" applyNumberFormat="1" applyFont="1" applyFill="1" applyAlignment="1">
      <alignment/>
    </xf>
    <xf numFmtId="0" fontId="0" fillId="20" borderId="0" xfId="0" applyFont="1" applyFill="1" applyBorder="1" applyAlignment="1">
      <alignment/>
    </xf>
    <xf numFmtId="3" fontId="0" fillId="0" borderId="0" xfId="0" applyNumberFormat="1" applyFont="1" applyFill="1" applyAlignment="1">
      <alignment/>
    </xf>
    <xf numFmtId="182" fontId="0" fillId="0" borderId="0" xfId="42" applyNumberFormat="1" applyFont="1" applyFill="1" applyAlignment="1">
      <alignment/>
    </xf>
    <xf numFmtId="43" fontId="0" fillId="0" borderId="0" xfId="0" applyNumberFormat="1" applyFont="1" applyFill="1" applyAlignment="1">
      <alignment/>
    </xf>
    <xf numFmtId="49" fontId="0" fillId="0" borderId="17" xfId="0" applyNumberFormat="1" applyFont="1" applyFill="1" applyBorder="1" applyAlignment="1">
      <alignment/>
    </xf>
    <xf numFmtId="0" fontId="0" fillId="31" borderId="0" xfId="0" applyFont="1" applyFill="1" applyAlignment="1">
      <alignment/>
    </xf>
    <xf numFmtId="1" fontId="0" fillId="0" borderId="0" xfId="0" applyNumberFormat="1" applyFont="1" applyFill="1" applyAlignment="1">
      <alignment/>
    </xf>
    <xf numFmtId="0" fontId="0" fillId="0" borderId="17" xfId="0" applyFont="1" applyBorder="1" applyAlignment="1">
      <alignment/>
    </xf>
    <xf numFmtId="0" fontId="0" fillId="22" borderId="17" xfId="0" applyFont="1" applyFill="1" applyBorder="1" applyAlignment="1">
      <alignment/>
    </xf>
    <xf numFmtId="0" fontId="0" fillId="33" borderId="17" xfId="0" applyFont="1" applyFill="1" applyBorder="1" applyAlignment="1">
      <alignment/>
    </xf>
    <xf numFmtId="0" fontId="0" fillId="0" borderId="17" xfId="0" applyFont="1" applyFill="1" applyBorder="1" applyAlignment="1">
      <alignment/>
    </xf>
    <xf numFmtId="182" fontId="0" fillId="0" borderId="17" xfId="42" applyNumberFormat="1" applyFont="1" applyFill="1" applyBorder="1" applyAlignment="1">
      <alignment/>
    </xf>
    <xf numFmtId="43" fontId="0" fillId="0" borderId="17" xfId="0" applyNumberFormat="1" applyFont="1" applyFill="1" applyBorder="1" applyAlignment="1">
      <alignment/>
    </xf>
    <xf numFmtId="43" fontId="0" fillId="22" borderId="0" xfId="0" applyNumberFormat="1" applyFont="1" applyFill="1" applyAlignment="1">
      <alignment/>
    </xf>
    <xf numFmtId="187" fontId="0" fillId="29" borderId="0" xfId="0" applyNumberFormat="1" applyFont="1" applyFill="1" applyAlignment="1">
      <alignment/>
    </xf>
    <xf numFmtId="43" fontId="0" fillId="0" borderId="0" xfId="42" applyFont="1" applyAlignment="1">
      <alignment/>
    </xf>
    <xf numFmtId="0" fontId="2" fillId="20" borderId="34" xfId="0" applyFont="1" applyFill="1" applyBorder="1" applyAlignment="1">
      <alignment horizontal="left" vertical="center"/>
    </xf>
    <xf numFmtId="0" fontId="0" fillId="34" borderId="29" xfId="0" applyFont="1" applyFill="1" applyBorder="1" applyAlignment="1">
      <alignment/>
    </xf>
    <xf numFmtId="0" fontId="0" fillId="34" borderId="17" xfId="0" applyFont="1" applyFill="1" applyBorder="1" applyAlignment="1">
      <alignment/>
    </xf>
    <xf numFmtId="0" fontId="50" fillId="28" borderId="0" xfId="0" applyFont="1" applyFill="1" applyAlignment="1">
      <alignment/>
    </xf>
    <xf numFmtId="0" fontId="2" fillId="0" borderId="0" xfId="0" applyFont="1" applyFill="1" applyBorder="1" applyAlignment="1">
      <alignment wrapText="1"/>
    </xf>
    <xf numFmtId="0" fontId="8" fillId="0" borderId="0" xfId="0" applyFont="1" applyBorder="1" applyAlignment="1">
      <alignment wrapText="1"/>
    </xf>
    <xf numFmtId="0" fontId="50" fillId="0" borderId="0" xfId="0" applyFont="1" applyFill="1" applyAlignment="1">
      <alignment/>
    </xf>
    <xf numFmtId="0" fontId="50" fillId="0" borderId="0" xfId="0" applyFont="1" applyFill="1" applyBorder="1" applyAlignment="1">
      <alignment horizontal="left"/>
    </xf>
    <xf numFmtId="0" fontId="2" fillId="0" borderId="13" xfId="0" applyFont="1" applyBorder="1" applyAlignment="1">
      <alignment horizontal="left"/>
    </xf>
    <xf numFmtId="0" fontId="0" fillId="0" borderId="13" xfId="0" applyFont="1" applyBorder="1" applyAlignment="1">
      <alignment horizontal="left" wrapText="1"/>
    </xf>
    <xf numFmtId="0" fontId="0" fillId="0" borderId="13" xfId="0" applyFont="1" applyBorder="1" applyAlignment="1">
      <alignment horizontal="left"/>
    </xf>
    <xf numFmtId="0" fontId="0" fillId="0" borderId="13" xfId="0" applyBorder="1" applyAlignment="1">
      <alignment horizontal="left" wrapText="1"/>
    </xf>
    <xf numFmtId="0" fontId="0" fillId="0" borderId="13" xfId="0" applyFont="1" applyFill="1" applyBorder="1" applyAlignment="1">
      <alignment horizontal="left" wrapText="1"/>
    </xf>
    <xf numFmtId="0" fontId="2" fillId="0" borderId="13" xfId="0" applyFont="1" applyFill="1" applyBorder="1" applyAlignment="1">
      <alignment horizontal="left" wrapText="1"/>
    </xf>
    <xf numFmtId="0" fontId="0" fillId="0" borderId="13" xfId="0" applyFont="1" applyFill="1" applyBorder="1" applyAlignment="1">
      <alignment horizontal="left"/>
    </xf>
    <xf numFmtId="0" fontId="0" fillId="0" borderId="13" xfId="0" applyBorder="1" applyAlignment="1">
      <alignment horizontal="left"/>
    </xf>
    <xf numFmtId="0" fontId="2" fillId="31" borderId="13" xfId="0" applyFont="1" applyFill="1" applyBorder="1" applyAlignment="1">
      <alignment horizontal="left" wrapText="1"/>
    </xf>
    <xf numFmtId="0" fontId="0" fillId="0" borderId="37" xfId="0" applyFont="1" applyFill="1" applyBorder="1" applyAlignment="1">
      <alignment horizontal="left"/>
    </xf>
    <xf numFmtId="0" fontId="0" fillId="0" borderId="37" xfId="0" applyBorder="1" applyAlignment="1">
      <alignment horizontal="left"/>
    </xf>
    <xf numFmtId="0" fontId="0" fillId="0" borderId="37" xfId="0" applyFont="1" applyFill="1" applyBorder="1" applyAlignment="1">
      <alignment horizontal="left" wrapText="1"/>
    </xf>
    <xf numFmtId="0" fontId="0" fillId="0" borderId="38" xfId="0" applyFont="1" applyBorder="1" applyAlignment="1">
      <alignment horizontal="left"/>
    </xf>
    <xf numFmtId="0" fontId="0" fillId="0" borderId="38" xfId="0" applyFont="1" applyBorder="1" applyAlignment="1">
      <alignment horizontal="left" wrapText="1"/>
    </xf>
    <xf numFmtId="0" fontId="42" fillId="0" borderId="0" xfId="0" applyFont="1" applyFill="1" applyAlignment="1">
      <alignment/>
    </xf>
    <xf numFmtId="0" fontId="5" fillId="0" borderId="0" xfId="0" applyFont="1" applyFill="1" applyAlignment="1">
      <alignment horizontal="left"/>
    </xf>
    <xf numFmtId="0" fontId="59" fillId="0" borderId="0" xfId="0" applyFont="1" applyFill="1" applyAlignment="1">
      <alignment/>
    </xf>
    <xf numFmtId="0" fontId="0" fillId="0" borderId="0" xfId="0" applyFont="1" applyAlignment="1">
      <alignment horizontal="left"/>
    </xf>
    <xf numFmtId="0" fontId="0" fillId="0" borderId="0" xfId="0" applyFill="1" applyAlignment="1">
      <alignment horizontal="right"/>
    </xf>
    <xf numFmtId="0" fontId="0" fillId="0" borderId="0" xfId="0" applyAlignment="1">
      <alignment horizontal="right"/>
    </xf>
    <xf numFmtId="0" fontId="0" fillId="0" borderId="0" xfId="0" applyFont="1" applyAlignment="1">
      <alignment horizontal="right"/>
    </xf>
    <xf numFmtId="2" fontId="0" fillId="0" borderId="0" xfId="0" applyNumberFormat="1" applyAlignment="1">
      <alignment horizontal="right"/>
    </xf>
    <xf numFmtId="176" fontId="2" fillId="0" borderId="0" xfId="0" applyNumberFormat="1" applyFont="1" applyAlignment="1">
      <alignment/>
    </xf>
    <xf numFmtId="0" fontId="0" fillId="35" borderId="39" xfId="0" applyFont="1" applyFill="1" applyBorder="1" applyAlignment="1">
      <alignment/>
    </xf>
    <xf numFmtId="0" fontId="0" fillId="35" borderId="29" xfId="0" applyFont="1" applyFill="1" applyBorder="1" applyAlignment="1">
      <alignment/>
    </xf>
    <xf numFmtId="0" fontId="2" fillId="20" borderId="24" xfId="0" applyFont="1" applyFill="1" applyBorder="1" applyAlignment="1">
      <alignment horizontal="left" vertical="center"/>
    </xf>
    <xf numFmtId="0" fontId="2" fillId="20" borderId="25" xfId="0" applyFont="1" applyFill="1" applyBorder="1" applyAlignment="1">
      <alignment horizontal="left" vertical="center"/>
    </xf>
    <xf numFmtId="0" fontId="2" fillId="20" borderId="26" xfId="0" applyFont="1" applyFill="1" applyBorder="1" applyAlignment="1">
      <alignment horizontal="left" vertical="center"/>
    </xf>
    <xf numFmtId="0" fontId="2" fillId="20" borderId="34" xfId="0" applyFont="1" applyFill="1" applyBorder="1" applyAlignment="1">
      <alignment horizontal="left" vertical="center" wrapText="1"/>
    </xf>
    <xf numFmtId="0" fontId="0" fillId="32" borderId="0" xfId="0" applyNumberFormat="1" applyFont="1" applyFill="1" applyAlignment="1" applyProtection="1">
      <alignment horizontal="left" vertical="top" wrapText="1"/>
      <protection locked="0"/>
    </xf>
    <xf numFmtId="0" fontId="0" fillId="0" borderId="29"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Border="1" applyAlignment="1" quotePrefix="1">
      <alignment horizontal="center"/>
    </xf>
    <xf numFmtId="2" fontId="0" fillId="0" borderId="0" xfId="0" applyNumberFormat="1" applyBorder="1" applyAlignment="1">
      <alignment/>
    </xf>
    <xf numFmtId="0" fontId="0" fillId="0" borderId="29" xfId="0" applyFont="1" applyBorder="1" applyAlignment="1">
      <alignment horizontal="center" vertical="center"/>
    </xf>
    <xf numFmtId="0" fontId="6" fillId="22" borderId="0" xfId="0" applyFont="1" applyFill="1" applyAlignment="1">
      <alignment/>
    </xf>
    <xf numFmtId="0" fontId="0" fillId="0" borderId="28" xfId="0" applyFont="1" applyBorder="1" applyAlignment="1">
      <alignment/>
    </xf>
    <xf numFmtId="0" fontId="0" fillId="0" borderId="40" xfId="0" applyFont="1" applyBorder="1" applyAlignment="1">
      <alignment/>
    </xf>
    <xf numFmtId="0" fontId="0" fillId="0" borderId="35" xfId="0" applyBorder="1" applyAlignment="1">
      <alignment/>
    </xf>
    <xf numFmtId="0" fontId="0" fillId="0" borderId="41" xfId="0" applyBorder="1" applyAlignment="1">
      <alignment/>
    </xf>
    <xf numFmtId="0" fontId="2" fillId="0" borderId="42" xfId="0" applyFont="1" applyBorder="1" applyAlignment="1">
      <alignment horizontal="left" vertical="center"/>
    </xf>
    <xf numFmtId="0" fontId="0" fillId="0" borderId="0" xfId="0" applyFont="1" applyBorder="1" applyAlignment="1">
      <alignment vertical="center"/>
    </xf>
    <xf numFmtId="0" fontId="0" fillId="0" borderId="36" xfId="0" applyFont="1" applyBorder="1" applyAlignment="1">
      <alignment vertical="center"/>
    </xf>
    <xf numFmtId="0" fontId="2" fillId="0" borderId="13" xfId="0" applyFont="1" applyBorder="1" applyAlignment="1">
      <alignment vertical="center"/>
    </xf>
    <xf numFmtId="0" fontId="0" fillId="0" borderId="28" xfId="0" applyFont="1" applyBorder="1" applyAlignment="1">
      <alignment vertical="center"/>
    </xf>
    <xf numFmtId="0" fontId="0" fillId="0" borderId="40" xfId="0" applyFont="1" applyBorder="1" applyAlignment="1">
      <alignment vertical="center"/>
    </xf>
    <xf numFmtId="0" fontId="0" fillId="0" borderId="35" xfId="0" applyFont="1" applyBorder="1" applyAlignment="1">
      <alignment horizontal="left" vertical="center"/>
    </xf>
    <xf numFmtId="0" fontId="0" fillId="0" borderId="43" xfId="0" applyBorder="1" applyAlignment="1">
      <alignment/>
    </xf>
    <xf numFmtId="0" fontId="0" fillId="0" borderId="41" xfId="0" applyFont="1" applyBorder="1" applyAlignment="1">
      <alignment/>
    </xf>
    <xf numFmtId="0" fontId="3" fillId="0" borderId="0" xfId="0" applyFont="1" applyFill="1" applyAlignment="1">
      <alignment wrapText="1"/>
    </xf>
    <xf numFmtId="0" fontId="0" fillId="22" borderId="0" xfId="0" applyFill="1" applyAlignment="1">
      <alignment vertical="center"/>
    </xf>
    <xf numFmtId="0" fontId="2" fillId="22" borderId="0" xfId="0" applyFont="1" applyFill="1" applyAlignment="1">
      <alignment vertical="center"/>
    </xf>
    <xf numFmtId="0" fontId="0" fillId="0" borderId="13" xfId="0" applyBorder="1" applyAlignment="1" applyProtection="1">
      <alignment vertical="center"/>
      <protection locked="0"/>
    </xf>
    <xf numFmtId="0" fontId="0" fillId="0" borderId="13" xfId="0" applyBorder="1" applyAlignment="1">
      <alignment vertical="center"/>
    </xf>
    <xf numFmtId="168" fontId="0" fillId="8" borderId="13" xfId="0" applyNumberFormat="1" applyFill="1" applyBorder="1" applyAlignment="1" applyProtection="1">
      <alignment vertical="center"/>
      <protection hidden="1"/>
    </xf>
    <xf numFmtId="0" fontId="0" fillId="8" borderId="13" xfId="0" applyFill="1" applyBorder="1" applyAlignment="1" applyProtection="1">
      <alignment vertical="center"/>
      <protection hidden="1"/>
    </xf>
    <xf numFmtId="0" fontId="0" fillId="0" borderId="13" xfId="0" applyBorder="1" applyAlignment="1" applyProtection="1">
      <alignment horizontal="center" vertical="center"/>
      <protection locked="0"/>
    </xf>
    <xf numFmtId="0" fontId="0" fillId="0" borderId="13" xfId="0" applyBorder="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0" xfId="0" applyAlignment="1">
      <alignment vertical="center"/>
    </xf>
    <xf numFmtId="0" fontId="0" fillId="0" borderId="13" xfId="0" applyFont="1" applyBorder="1" applyAlignment="1" applyProtection="1">
      <alignment vertical="center"/>
      <protection locked="0"/>
    </xf>
    <xf numFmtId="0" fontId="0" fillId="0" borderId="13" xfId="0" applyFont="1" applyBorder="1" applyAlignment="1" applyProtection="1">
      <alignment vertical="center" wrapText="1"/>
      <protection locked="0"/>
    </xf>
    <xf numFmtId="0" fontId="0" fillId="0" borderId="0" xfId="0" applyFont="1" applyAlignment="1">
      <alignment/>
    </xf>
    <xf numFmtId="0" fontId="0" fillId="0" borderId="0" xfId="0" applyFont="1" applyFill="1" applyAlignment="1" applyProtection="1">
      <alignment horizontal="left" vertical="top" wrapText="1"/>
      <protection locked="0"/>
    </xf>
    <xf numFmtId="0" fontId="0" fillId="32" borderId="0" xfId="0" applyFont="1" applyFill="1" applyAlignment="1" applyProtection="1">
      <alignment horizontal="left" vertical="top" wrapText="1"/>
      <protection locked="0"/>
    </xf>
    <xf numFmtId="49" fontId="0" fillId="0" borderId="0" xfId="0" applyNumberFormat="1" applyFont="1" applyFill="1" applyAlignment="1" applyProtection="1">
      <alignment horizontal="left" vertical="top" wrapText="1"/>
      <protection locked="0"/>
    </xf>
    <xf numFmtId="49" fontId="0" fillId="32" borderId="0" xfId="0" applyNumberFormat="1" applyFont="1" applyFill="1" applyAlignment="1" applyProtection="1">
      <alignment horizontal="left" vertical="top" wrapText="1"/>
      <protection locked="0"/>
    </xf>
    <xf numFmtId="0" fontId="0" fillId="0" borderId="13" xfId="0" applyFont="1" applyBorder="1" applyAlignment="1" applyProtection="1">
      <alignment horizontal="left"/>
      <protection locked="0"/>
    </xf>
    <xf numFmtId="0" fontId="0" fillId="0" borderId="13" xfId="0" applyFont="1" applyBorder="1" applyAlignment="1">
      <alignment vertical="center"/>
    </xf>
    <xf numFmtId="0" fontId="0" fillId="0" borderId="13" xfId="0" applyFont="1" applyBorder="1" applyAlignment="1">
      <alignment/>
    </xf>
    <xf numFmtId="0" fontId="0" fillId="34" borderId="15" xfId="0" applyFont="1" applyFill="1" applyBorder="1" applyAlignment="1">
      <alignment horizontal="left" wrapText="1"/>
    </xf>
    <xf numFmtId="0" fontId="0" fillId="34" borderId="44" xfId="0" applyFont="1" applyFill="1" applyBorder="1" applyAlignment="1">
      <alignment horizontal="left" wrapText="1"/>
    </xf>
    <xf numFmtId="0" fontId="0" fillId="20" borderId="24" xfId="0" applyFont="1" applyFill="1" applyBorder="1" applyAlignment="1">
      <alignment horizontal="left" vertical="center" wrapText="1"/>
    </xf>
    <xf numFmtId="0" fontId="0" fillId="20" borderId="25" xfId="0" applyFont="1" applyFill="1" applyBorder="1" applyAlignment="1">
      <alignment horizontal="left" vertical="center" wrapText="1"/>
    </xf>
    <xf numFmtId="0" fontId="0" fillId="20" borderId="26" xfId="0" applyFont="1" applyFill="1" applyBorder="1" applyAlignment="1">
      <alignment horizontal="left" vertical="center" wrapText="1"/>
    </xf>
    <xf numFmtId="0" fontId="0" fillId="34" borderId="45" xfId="0" applyFont="1" applyFill="1" applyBorder="1" applyAlignment="1">
      <alignment horizontal="left" wrapText="1"/>
    </xf>
    <xf numFmtId="0" fontId="0" fillId="34" borderId="46" xfId="0" applyFont="1" applyFill="1" applyBorder="1" applyAlignment="1">
      <alignment horizontal="left" wrapText="1"/>
    </xf>
    <xf numFmtId="0" fontId="6" fillId="22" borderId="0" xfId="0" applyFont="1" applyFill="1" applyAlignment="1">
      <alignment horizontal="center"/>
    </xf>
    <xf numFmtId="0" fontId="0" fillId="20" borderId="24" xfId="0" applyFont="1" applyFill="1" applyBorder="1" applyAlignment="1">
      <alignment horizontal="left" vertical="center" wrapText="1"/>
    </xf>
    <xf numFmtId="0" fontId="2" fillId="35" borderId="18" xfId="0" applyFont="1" applyFill="1" applyBorder="1" applyAlignment="1">
      <alignment horizontal="center" textRotation="45"/>
    </xf>
    <xf numFmtId="0" fontId="2" fillId="35" borderId="21" xfId="0" applyFont="1" applyFill="1" applyBorder="1" applyAlignment="1">
      <alignment horizontal="center" textRotation="45"/>
    </xf>
    <xf numFmtId="0" fontId="2" fillId="34" borderId="21" xfId="0" applyFont="1" applyFill="1" applyBorder="1" applyAlignment="1">
      <alignment horizontal="center" vertical="center" textRotation="90"/>
    </xf>
    <xf numFmtId="0" fontId="2" fillId="34" borderId="32" xfId="0" applyFont="1" applyFill="1" applyBorder="1" applyAlignment="1">
      <alignment horizontal="center" vertical="center" textRotation="90"/>
    </xf>
    <xf numFmtId="0" fontId="0" fillId="22" borderId="0" xfId="0" applyFont="1" applyFill="1" applyAlignment="1">
      <alignment horizontal="left" wrapText="1"/>
    </xf>
    <xf numFmtId="0" fontId="0" fillId="22" borderId="0" xfId="0" applyFont="1" applyFill="1" applyAlignment="1">
      <alignment horizontal="left" wrapText="1"/>
    </xf>
    <xf numFmtId="0" fontId="0" fillId="35" borderId="39" xfId="0" applyFont="1" applyFill="1" applyBorder="1" applyAlignment="1">
      <alignment horizontal="left" wrapText="1"/>
    </xf>
    <xf numFmtId="0" fontId="0" fillId="35" borderId="47" xfId="0" applyFont="1" applyFill="1" applyBorder="1" applyAlignment="1">
      <alignment horizontal="left" wrapText="1"/>
    </xf>
    <xf numFmtId="0" fontId="0" fillId="35" borderId="15" xfId="0" applyFont="1" applyFill="1" applyBorder="1" applyAlignment="1">
      <alignment horizontal="left" wrapText="1"/>
    </xf>
    <xf numFmtId="0" fontId="0" fillId="35" borderId="44" xfId="0" applyFont="1" applyFill="1" applyBorder="1" applyAlignment="1">
      <alignment horizontal="left" wrapText="1"/>
    </xf>
    <xf numFmtId="0" fontId="0" fillId="34" borderId="15" xfId="0" applyFont="1" applyFill="1" applyBorder="1" applyAlignment="1">
      <alignment horizontal="left" wrapText="1"/>
    </xf>
    <xf numFmtId="0" fontId="0" fillId="0" borderId="34" xfId="0" applyFont="1"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3" xfId="0" applyBorder="1" applyAlignment="1" applyProtection="1">
      <alignment horizontal="left"/>
      <protection locked="0"/>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2" fillId="20" borderId="34" xfId="0" applyFont="1" applyFill="1" applyBorder="1" applyAlignment="1">
      <alignment horizontal="left" vertical="top"/>
    </xf>
    <xf numFmtId="0" fontId="2" fillId="20" borderId="16" xfId="0" applyFont="1" applyFill="1" applyBorder="1" applyAlignment="1">
      <alignment horizontal="left" vertical="top"/>
    </xf>
    <xf numFmtId="0" fontId="2" fillId="20" borderId="13" xfId="0" applyFont="1" applyFill="1" applyBorder="1" applyAlignment="1">
      <alignment horizontal="left"/>
    </xf>
    <xf numFmtId="0" fontId="0" fillId="0" borderId="13" xfId="0" applyBorder="1" applyAlignment="1" applyProtection="1">
      <alignment horizontal="center"/>
      <protection locked="0"/>
    </xf>
    <xf numFmtId="0" fontId="2" fillId="20" borderId="34" xfId="0" applyFont="1" applyFill="1" applyBorder="1" applyAlignment="1">
      <alignment horizontal="center"/>
    </xf>
    <xf numFmtId="0" fontId="2" fillId="20" borderId="15" xfId="0" applyFont="1" applyFill="1" applyBorder="1" applyAlignment="1">
      <alignment horizontal="center"/>
    </xf>
    <xf numFmtId="0" fontId="2" fillId="20" borderId="16" xfId="0" applyFont="1" applyFill="1" applyBorder="1" applyAlignment="1">
      <alignment horizontal="center"/>
    </xf>
    <xf numFmtId="0" fontId="2" fillId="20" borderId="34" xfId="0" applyFont="1" applyFill="1" applyBorder="1" applyAlignment="1">
      <alignment horizontal="left" vertical="center"/>
    </xf>
    <xf numFmtId="0" fontId="2" fillId="20" borderId="16" xfId="0" applyFont="1" applyFill="1" applyBorder="1" applyAlignment="1">
      <alignment horizontal="left" vertical="center"/>
    </xf>
    <xf numFmtId="0" fontId="0" fillId="28" borderId="13" xfId="0" applyFont="1" applyFill="1" applyBorder="1" applyAlignment="1" applyProtection="1">
      <alignment horizontal="left"/>
      <protection locked="0"/>
    </xf>
    <xf numFmtId="0" fontId="0" fillId="28" borderId="13" xfId="0" applyFill="1" applyBorder="1" applyAlignment="1" applyProtection="1">
      <alignment horizontal="left"/>
      <protection locked="0"/>
    </xf>
    <xf numFmtId="0" fontId="0" fillId="0" borderId="34"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34" xfId="0" applyBorder="1" applyAlignment="1" applyProtection="1">
      <alignment horizontal="left"/>
      <protection locked="0"/>
    </xf>
    <xf numFmtId="0" fontId="2" fillId="20" borderId="34" xfId="0" applyFont="1" applyFill="1" applyBorder="1" applyAlignment="1">
      <alignment horizontal="left"/>
    </xf>
    <xf numFmtId="0" fontId="2" fillId="20" borderId="16" xfId="0" applyFont="1" applyFill="1" applyBorder="1" applyAlignment="1">
      <alignment horizontal="left"/>
    </xf>
    <xf numFmtId="0" fontId="0" fillId="0" borderId="0" xfId="0" applyFont="1" applyAlignment="1">
      <alignment horizontal="left" wrapText="1"/>
    </xf>
    <xf numFmtId="0" fontId="2" fillId="0" borderId="13" xfId="0" applyFont="1" applyFill="1" applyBorder="1" applyAlignment="1">
      <alignment horizontal="left" wrapText="1"/>
    </xf>
    <xf numFmtId="0" fontId="2" fillId="8" borderId="20" xfId="0" applyFont="1" applyFill="1" applyBorder="1" applyAlignment="1">
      <alignment horizontal="center" wrapText="1"/>
    </xf>
    <xf numFmtId="0" fontId="2" fillId="8" borderId="31" xfId="0" applyFont="1" applyFill="1" applyBorder="1" applyAlignment="1">
      <alignment horizontal="center" wrapText="1"/>
    </xf>
    <xf numFmtId="0" fontId="2" fillId="8" borderId="24" xfId="0" applyFont="1" applyFill="1" applyBorder="1" applyAlignment="1">
      <alignment horizontal="center"/>
    </xf>
    <xf numFmtId="0" fontId="2" fillId="8" borderId="25" xfId="0" applyFont="1" applyFill="1" applyBorder="1" applyAlignment="1">
      <alignment horizontal="center"/>
    </xf>
    <xf numFmtId="0" fontId="2" fillId="8" borderId="26" xfId="0" applyFont="1" applyFill="1" applyBorder="1" applyAlignment="1">
      <alignment horizontal="center"/>
    </xf>
    <xf numFmtId="0" fontId="2" fillId="0" borderId="20" xfId="0" applyFont="1" applyBorder="1" applyAlignment="1">
      <alignment horizontal="center" wrapText="1"/>
    </xf>
    <xf numFmtId="0" fontId="2" fillId="0" borderId="23" xfId="0" applyFont="1" applyBorder="1" applyAlignment="1">
      <alignment horizontal="center" wrapText="1"/>
    </xf>
    <xf numFmtId="0" fontId="2" fillId="0" borderId="31" xfId="0" applyFont="1" applyBorder="1" applyAlignment="1">
      <alignment horizontal="center" wrapText="1"/>
    </xf>
    <xf numFmtId="0" fontId="56" fillId="0" borderId="0" xfId="0" applyFont="1" applyFill="1" applyAlignment="1">
      <alignment horizontal="center"/>
    </xf>
    <xf numFmtId="0" fontId="2" fillId="0" borderId="3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8" fillId="0" borderId="24" xfId="0" applyFont="1" applyBorder="1" applyAlignment="1">
      <alignment wrapText="1"/>
    </xf>
    <xf numFmtId="0" fontId="8" fillId="0" borderId="26" xfId="0" applyFont="1" applyBorder="1" applyAlignment="1">
      <alignment wrapText="1"/>
    </xf>
    <xf numFmtId="0" fontId="0" fillId="0" borderId="41" xfId="0" applyFont="1" applyBorder="1" applyAlignment="1">
      <alignment horizontal="left" vertical="center" wrapText="1"/>
    </xf>
    <xf numFmtId="0" fontId="0" fillId="0" borderId="29" xfId="0" applyFont="1" applyBorder="1" applyAlignment="1">
      <alignment horizontal="left" vertical="center" wrapText="1"/>
    </xf>
    <xf numFmtId="0" fontId="0" fillId="0" borderId="43" xfId="0" applyFont="1" applyBorder="1" applyAlignment="1">
      <alignment horizontal="left" vertical="center" wrapText="1"/>
    </xf>
    <xf numFmtId="0" fontId="8" fillId="0" borderId="25" xfId="0" applyFont="1" applyBorder="1" applyAlignment="1">
      <alignment wrapText="1"/>
    </xf>
    <xf numFmtId="0" fontId="46" fillId="0" borderId="24" xfId="0" applyFont="1" applyBorder="1" applyAlignment="1">
      <alignment wrapText="1"/>
    </xf>
    <xf numFmtId="0" fontId="46" fillId="0" borderId="26" xfId="0" applyFont="1" applyBorder="1" applyAlignment="1">
      <alignment wrapText="1"/>
    </xf>
    <xf numFmtId="0" fontId="46" fillId="0" borderId="24" xfId="0" applyFont="1" applyBorder="1" applyAlignment="1">
      <alignment/>
    </xf>
    <xf numFmtId="0" fontId="46" fillId="0" borderId="26" xfId="0" applyFont="1" applyBorder="1" applyAlignment="1">
      <alignment/>
    </xf>
    <xf numFmtId="0" fontId="43" fillId="0" borderId="34" xfId="0" applyFont="1" applyBorder="1" applyAlignment="1">
      <alignment horizontal="left" vertical="center" wrapText="1"/>
    </xf>
    <xf numFmtId="0" fontId="43" fillId="0" borderId="15" xfId="0" applyFont="1" applyBorder="1" applyAlignment="1">
      <alignment horizontal="left" vertical="center" wrapText="1"/>
    </xf>
    <xf numFmtId="0" fontId="43" fillId="0" borderId="16" xfId="0" applyFont="1" applyBorder="1" applyAlignment="1">
      <alignment horizontal="left" vertical="center" wrapText="1"/>
    </xf>
    <xf numFmtId="0" fontId="2" fillId="0" borderId="42"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2" xfId="0" applyFont="1" applyBorder="1" applyAlignment="1">
      <alignment horizontal="left" vertical="center" wrapText="1"/>
    </xf>
    <xf numFmtId="0" fontId="2" fillId="0" borderId="28" xfId="0" applyFont="1" applyBorder="1" applyAlignment="1">
      <alignment horizontal="left" vertical="center" wrapText="1"/>
    </xf>
    <xf numFmtId="0" fontId="2" fillId="0" borderId="40" xfId="0" applyFont="1" applyBorder="1" applyAlignment="1">
      <alignment horizontal="left" vertical="center" wrapText="1"/>
    </xf>
    <xf numFmtId="0" fontId="2" fillId="0" borderId="35" xfId="0" applyFont="1" applyBorder="1" applyAlignment="1">
      <alignment horizontal="left" vertical="center" wrapText="1"/>
    </xf>
    <xf numFmtId="0" fontId="2" fillId="0" borderId="0" xfId="0" applyFont="1" applyBorder="1" applyAlignment="1">
      <alignment horizontal="left" vertical="center" wrapText="1"/>
    </xf>
    <xf numFmtId="0" fontId="2" fillId="0" borderId="36" xfId="0" applyFont="1" applyBorder="1" applyAlignment="1">
      <alignment horizontal="left" vertical="center" wrapText="1"/>
    </xf>
    <xf numFmtId="0" fontId="0" fillId="0" borderId="35" xfId="0" applyFont="1" applyBorder="1" applyAlignment="1">
      <alignment horizontal="left" vertical="center" wrapText="1"/>
    </xf>
    <xf numFmtId="0" fontId="0" fillId="0" borderId="0" xfId="0" applyFont="1" applyBorder="1" applyAlignment="1">
      <alignment horizontal="left" vertical="center" wrapText="1"/>
    </xf>
    <xf numFmtId="0" fontId="0" fillId="0" borderId="36" xfId="0" applyFont="1" applyBorder="1" applyAlignment="1">
      <alignment horizontal="left" vertical="center" wrapText="1"/>
    </xf>
    <xf numFmtId="0" fontId="0" fillId="0" borderId="41"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41" xfId="0" applyFont="1" applyBorder="1" applyAlignment="1">
      <alignment horizontal="left" wrapText="1"/>
    </xf>
    <xf numFmtId="0" fontId="0" fillId="0" borderId="29" xfId="0" applyFont="1" applyBorder="1" applyAlignment="1">
      <alignment horizontal="left" wrapText="1"/>
    </xf>
    <xf numFmtId="0" fontId="2" fillId="20" borderId="13" xfId="0" applyFont="1" applyFill="1" applyBorder="1" applyAlignment="1">
      <alignment horizontal="center"/>
    </xf>
    <xf numFmtId="0" fontId="0" fillId="0" borderId="0" xfId="0" applyFont="1" applyFill="1" applyBorder="1" applyAlignment="1">
      <alignment horizontal="left" wrapText="1"/>
    </xf>
    <xf numFmtId="0" fontId="43" fillId="20" borderId="13" xfId="0" applyFont="1" applyFill="1" applyBorder="1" applyAlignment="1">
      <alignment horizontal="center"/>
    </xf>
    <xf numFmtId="0" fontId="43" fillId="20" borderId="34" xfId="0" applyFont="1" applyFill="1" applyBorder="1" applyAlignment="1">
      <alignment horizontal="center"/>
    </xf>
    <xf numFmtId="0" fontId="43" fillId="20" borderId="15" xfId="0" applyFont="1" applyFill="1" applyBorder="1" applyAlignment="1">
      <alignment horizontal="center"/>
    </xf>
    <xf numFmtId="0" fontId="43" fillId="20" borderId="16" xfId="0" applyFont="1" applyFill="1" applyBorder="1" applyAlignment="1">
      <alignment horizontal="center"/>
    </xf>
    <xf numFmtId="0" fontId="2" fillId="0" borderId="0" xfId="0" applyFont="1" applyFill="1" applyBorder="1" applyAlignment="1">
      <alignment horizontal="center"/>
    </xf>
    <xf numFmtId="182" fontId="2" fillId="0" borderId="0" xfId="0" applyNumberFormat="1" applyFont="1" applyFill="1" applyBorder="1" applyAlignment="1">
      <alignment horizontal="center"/>
    </xf>
    <xf numFmtId="182" fontId="2" fillId="0" borderId="17" xfId="0" applyNumberFormat="1" applyFont="1" applyFill="1" applyBorder="1" applyAlignment="1">
      <alignment horizontal="center"/>
    </xf>
    <xf numFmtId="0" fontId="2" fillId="0" borderId="35" xfId="0" applyFont="1" applyBorder="1" applyAlignment="1">
      <alignment textRotation="90" wrapText="1"/>
    </xf>
    <xf numFmtId="0" fontId="0" fillId="0" borderId="35" xfId="0" applyFont="1" applyBorder="1" applyAlignment="1">
      <alignment textRotation="90" wrapText="1"/>
    </xf>
    <xf numFmtId="0" fontId="0" fillId="0" borderId="35" xfId="0" applyFont="1" applyBorder="1" applyAlignment="1">
      <alignment wrapText="1"/>
    </xf>
    <xf numFmtId="0" fontId="2" fillId="20" borderId="0" xfId="0" applyFont="1" applyFill="1" applyAlignment="1">
      <alignment horizontal="center"/>
    </xf>
    <xf numFmtId="0" fontId="0" fillId="0" borderId="0" xfId="0" applyFont="1" applyAlignment="1">
      <alignment horizontal="center"/>
    </xf>
    <xf numFmtId="0" fontId="34" fillId="0" borderId="0" xfId="0" applyFont="1" applyFill="1" applyBorder="1" applyAlignment="1">
      <alignment horizontal="center"/>
    </xf>
    <xf numFmtId="0" fontId="14" fillId="0" borderId="0" xfId="0" applyFont="1" applyAlignment="1">
      <alignment horizontal="center"/>
    </xf>
    <xf numFmtId="0" fontId="0" fillId="0" borderId="29" xfId="0" applyFont="1" applyFill="1" applyBorder="1" applyAlignment="1">
      <alignment horizontal="left" wrapText="1"/>
    </xf>
    <xf numFmtId="0" fontId="0" fillId="0" borderId="15" xfId="0" applyNumberFormat="1" applyFont="1" applyFill="1" applyBorder="1" applyAlignment="1">
      <alignment horizontal="left" wrapText="1"/>
    </xf>
    <xf numFmtId="0" fontId="0" fillId="0" borderId="28" xfId="0" applyFont="1" applyBorder="1" applyAlignment="1">
      <alignment horizontal="left" wrapText="1"/>
    </xf>
    <xf numFmtId="0" fontId="2" fillId="0" borderId="0" xfId="0" applyFont="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heet1" xfId="58"/>
    <cellStyle name="Normal_Sheet1_Galatia PM Emissions 2005" xfId="59"/>
    <cellStyle name="Note" xfId="60"/>
    <cellStyle name="Output" xfId="61"/>
    <cellStyle name="Percent" xfId="62"/>
    <cellStyle name="Standard_Bsp-Datenaustausch_S&amp;U" xfId="63"/>
    <cellStyle name="Style 21" xfId="64"/>
    <cellStyle name="Style 22" xfId="65"/>
    <cellStyle name="Style 23" xfId="66"/>
    <cellStyle name="Style 24" xfId="67"/>
    <cellStyle name="Style 25" xfId="68"/>
    <cellStyle name="Style 26" xfId="69"/>
    <cellStyle name="Style 27" xfId="70"/>
    <cellStyle name="Style 28" xfId="71"/>
    <cellStyle name="Style 29" xfId="72"/>
    <cellStyle name="Style 30" xfId="73"/>
    <cellStyle name="Style 31" xfId="74"/>
    <cellStyle name="Style 32" xfId="75"/>
    <cellStyle name="Style 33" xfId="76"/>
    <cellStyle name="Style 34" xfId="77"/>
    <cellStyle name="Style 35" xfId="78"/>
    <cellStyle name="Style 36" xfId="79"/>
    <cellStyle name="text" xfId="80"/>
    <cellStyle name="Title" xfId="81"/>
    <cellStyle name="Total" xfId="82"/>
    <cellStyle name="Warning Text" xfId="83"/>
    <cellStyle name="wissenschaft-Eingabe" xfId="84"/>
  </cellStyles>
  <dxfs count="2">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32</xdr:row>
      <xdr:rowOff>38100</xdr:rowOff>
    </xdr:from>
    <xdr:to>
      <xdr:col>13</xdr:col>
      <xdr:colOff>0</xdr:colOff>
      <xdr:row>46</xdr:row>
      <xdr:rowOff>19050</xdr:rowOff>
    </xdr:to>
    <xdr:sp>
      <xdr:nvSpPr>
        <xdr:cNvPr id="1" name="TextBox 1"/>
        <xdr:cNvSpPr txBox="1">
          <a:spLocks noChangeArrowheads="1"/>
        </xdr:cNvSpPr>
      </xdr:nvSpPr>
      <xdr:spPr>
        <a:xfrm>
          <a:off x="752475" y="7419975"/>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419100</xdr:colOff>
      <xdr:row>8</xdr:row>
      <xdr:rowOff>152400</xdr:rowOff>
    </xdr:from>
    <xdr:to>
      <xdr:col>12</xdr:col>
      <xdr:colOff>714375</xdr:colOff>
      <xdr:row>18</xdr:row>
      <xdr:rowOff>9525</xdr:rowOff>
    </xdr:to>
    <xdr:sp>
      <xdr:nvSpPr>
        <xdr:cNvPr id="1" name="Text Box 13"/>
        <xdr:cNvSpPr txBox="1">
          <a:spLocks noChangeArrowheads="1"/>
        </xdr:cNvSpPr>
      </xdr:nvSpPr>
      <xdr:spPr>
        <a:xfrm>
          <a:off x="6991350" y="1771650"/>
          <a:ext cx="6286500" cy="154305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a:t>
          </a:r>
          <a:r>
            <a:rPr lang="en-US" cap="none" sz="1000" b="0" i="0" u="none" baseline="0">
              <a:solidFill>
                <a:srgbClr val="000000"/>
              </a:solidFill>
              <a:latin typeface="Arial"/>
              <a:ea typeface="Arial"/>
              <a:cs typeface="Arial"/>
            </a:rPr>
            <a:t> Flow: 1 kg of Western Montana Subbituminous Coal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relevant input and output flows associated with underground mining of Western Montana subbituminous coal.  This unit process adjusts the CMM from the base unit process for Illinois No. 6 coal extraction.  These include: electricity use, diesel fuel use, water use, water discharge, air quality emissions including particulate matter and coal mine methane, and water quality emissions. For additional  documentation, please see the associated DF sheet for this unit process.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kg of subbituminous coal)</a:t>
          </a:r>
        </a:p>
      </xdr:txBody>
    </xdr:sp>
    <xdr:clientData/>
  </xdr:twoCellAnchor>
  <xdr:twoCellAnchor editAs="oneCell">
    <xdr:from>
      <xdr:col>3</xdr:col>
      <xdr:colOff>57150</xdr:colOff>
      <xdr:row>16</xdr:row>
      <xdr:rowOff>28575</xdr:rowOff>
    </xdr:from>
    <xdr:to>
      <xdr:col>3</xdr:col>
      <xdr:colOff>933450</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76300"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438150</xdr:rowOff>
    </xdr:from>
    <xdr:to>
      <xdr:col>7</xdr:col>
      <xdr:colOff>514350</xdr:colOff>
      <xdr:row>11</xdr:row>
      <xdr:rowOff>114300</xdr:rowOff>
    </xdr:to>
    <xdr:sp>
      <xdr:nvSpPr>
        <xdr:cNvPr id="1" name="TextBox 1"/>
        <xdr:cNvSpPr txBox="1">
          <a:spLocks noChangeArrowheads="1"/>
        </xdr:cNvSpPr>
      </xdr:nvSpPr>
      <xdr:spPr>
        <a:xfrm>
          <a:off x="28575" y="1019175"/>
          <a:ext cx="4752975" cy="14668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1" u="none" baseline="0">
              <a:solidFill>
                <a:srgbClr val="000000"/>
              </a:solidFill>
              <a:latin typeface="Arial"/>
              <a:ea typeface="Arial"/>
              <a:cs typeface="Arial"/>
            </a:rPr>
            <a:t>Data</a:t>
          </a:r>
          <a:r>
            <a:rPr lang="en-US" cap="none" sz="1000" b="0" i="1" u="none" baseline="0">
              <a:solidFill>
                <a:srgbClr val="000000"/>
              </a:solidFill>
              <a:latin typeface="Arial"/>
              <a:ea typeface="Arial"/>
              <a:cs typeface="Arial"/>
            </a:rPr>
            <a:t> were manually entered into spreadsheet based on hard copy printouts of water quality monitoring data taken in support of NPDES permits for the Galatia Coal Mine, Galatia, Illinois, for 2006-2008. Loads of each relevant constituent are calculated based on measured flow and measured constituent concentration. Finally, pollutant loads are normalized per the reference flow (1 kg of coal output).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19050</xdr:rowOff>
    </xdr:from>
    <xdr:to>
      <xdr:col>7</xdr:col>
      <xdr:colOff>581025</xdr:colOff>
      <xdr:row>18</xdr:row>
      <xdr:rowOff>38100</xdr:rowOff>
    </xdr:to>
    <xdr:sp>
      <xdr:nvSpPr>
        <xdr:cNvPr id="1" name="TextBox 1"/>
        <xdr:cNvSpPr txBox="1">
          <a:spLocks noChangeArrowheads="1"/>
        </xdr:cNvSpPr>
      </xdr:nvSpPr>
      <xdr:spPr>
        <a:xfrm>
          <a:off x="9525" y="790575"/>
          <a:ext cx="4972050" cy="2447925"/>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NOTES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Galatia provided an estimate of their water usage.  To ensure data quality, this value was compared with other available estimates from other sources.  USGS collected water usage information in 2000--including water use for mining operations.  Unfortunately, water use in mining operations was only collected for several states (deemed by the USGS to be highest consumers) and Illinois was not one of them.  Data was, however, collected for Pennsylvania and is broken down by county.  Greene County is the location of the Consol Enlow Fork and Bailey underground mines--large mining operations.  Data was extracted for this county and apportioned to the coal production for that county for 2000 (statistics from 2000 Annual Coal Report, Reference [17]).  Since there are surface mines in Greene county and potentially other mining operations, this estimate is not precise and this is noted as a data limitation.  The value determined in this manner is approximately 20% lower than the Galatia estimate.  Hence, the Galatia estimate was used in the model.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19050</xdr:rowOff>
    </xdr:from>
    <xdr:to>
      <xdr:col>4</xdr:col>
      <xdr:colOff>457200</xdr:colOff>
      <xdr:row>9</xdr:row>
      <xdr:rowOff>85725</xdr:rowOff>
    </xdr:to>
    <xdr:sp>
      <xdr:nvSpPr>
        <xdr:cNvPr id="1" name="TextBox 1"/>
        <xdr:cNvSpPr txBox="1">
          <a:spLocks noChangeArrowheads="1"/>
        </xdr:cNvSpPr>
      </xdr:nvSpPr>
      <xdr:spPr>
        <a:xfrm>
          <a:off x="0" y="533400"/>
          <a:ext cx="6010275" cy="1200150"/>
        </a:xfrm>
        <a:prstGeom prst="rect">
          <a:avLst/>
        </a:prstGeom>
        <a:solidFill>
          <a:srgbClr val="EEECE1"/>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The purpose of this sheet is to document the emission significance check that was performed due to insufficient DQI score for ammonia</a:t>
          </a:r>
          <a:r>
            <a:rPr lang="en-US" cap="none" sz="1000" b="0" i="0" u="none" baseline="0">
              <a:solidFill>
                <a:srgbClr val="000000"/>
              </a:solidFill>
              <a:latin typeface="Arial"/>
              <a:ea typeface="Arial"/>
              <a:cs typeface="Arial"/>
            </a:rPr>
            <a:t> emissions data. A significant emission is defined within the boundary of this study as one that is at least 1 percent of total emissions for the relevant emissions category. Here, the relevant emissions category is comprised of all air emissions, excluding greenhouse gases. As shown below, these calculations indicate that the ammonia emissions to air comprise a less than significant fraction of the total relevant air emissions. Therefore, no further  documentation or analysis is required.</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DOCUME~1\Davist\LOCALS~1\Temp\XPgrpwise\Petroleum%20Refining%20Emissions\NETL%202008%20Petroleum%20LCA%20Model_internal%20Dec_15%20with%20refinery%20tab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3.vml" /><Relationship Id="rId3" Type="http://schemas.openxmlformats.org/officeDocument/2006/relationships/drawing" Target="../drawings/drawing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epa.gov/ttn/chief/net/2005inventory.html"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1"/>
  <dimension ref="A1:AA505"/>
  <sheetViews>
    <sheetView zoomScalePageLayoutView="0" workbookViewId="0" topLeftCell="A1">
      <selection activeCell="A1" sqref="A1:N1"/>
    </sheetView>
  </sheetViews>
  <sheetFormatPr defaultColWidth="9.140625" defaultRowHeight="12.75"/>
  <cols>
    <col min="1" max="1" width="2.00390625" style="5"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5" customWidth="1"/>
  </cols>
  <sheetData>
    <row r="1" spans="1:15" ht="20.25">
      <c r="A1" s="377" t="s">
        <v>100</v>
      </c>
      <c r="B1" s="377"/>
      <c r="C1" s="377"/>
      <c r="D1" s="377"/>
      <c r="E1" s="377"/>
      <c r="F1" s="377"/>
      <c r="G1" s="377"/>
      <c r="H1" s="377"/>
      <c r="I1" s="377"/>
      <c r="J1" s="377"/>
      <c r="K1" s="377"/>
      <c r="L1" s="377"/>
      <c r="M1" s="377"/>
      <c r="N1" s="377"/>
      <c r="O1" s="335"/>
    </row>
    <row r="2" spans="1:15" ht="21" thickBot="1">
      <c r="A2" s="377" t="s">
        <v>629</v>
      </c>
      <c r="B2" s="377"/>
      <c r="C2" s="377"/>
      <c r="D2" s="377"/>
      <c r="E2" s="377"/>
      <c r="F2" s="377"/>
      <c r="G2" s="377"/>
      <c r="H2" s="377"/>
      <c r="I2" s="377"/>
      <c r="J2" s="377"/>
      <c r="K2" s="377"/>
      <c r="L2" s="377"/>
      <c r="M2" s="377"/>
      <c r="N2" s="377"/>
      <c r="O2" s="335"/>
    </row>
    <row r="3" spans="2:15" ht="12.75" customHeight="1" thickBot="1">
      <c r="B3" s="5"/>
      <c r="C3" s="290" t="s">
        <v>764</v>
      </c>
      <c r="D3" s="323" t="str">
        <f>'Data Summary'!D4</f>
        <v>Underground Mine, Western Montana Subbituminous Coal, Operation</v>
      </c>
      <c r="E3" s="324"/>
      <c r="F3" s="324"/>
      <c r="G3" s="324"/>
      <c r="H3" s="324"/>
      <c r="I3" s="324"/>
      <c r="J3" s="324"/>
      <c r="K3" s="324"/>
      <c r="L3" s="324"/>
      <c r="M3" s="325"/>
      <c r="N3" s="5"/>
      <c r="O3" s="5"/>
    </row>
    <row r="4" spans="2:15" ht="42.75" customHeight="1" thickBot="1">
      <c r="B4" s="5"/>
      <c r="C4" s="290" t="s">
        <v>765</v>
      </c>
      <c r="D4" s="372" t="str">
        <f>'Data Summary'!D6</f>
        <v>Based on the Illinois No. 6 underground, subbituminous coal mine unit process. Assumes all underground mining to be similar; 15.8 cubic feet/short ton coal mine CH4 (CMM) emissions, adjustable CMM capture rates; LHV=10650 Btu/lb</v>
      </c>
      <c r="E4" s="373"/>
      <c r="F4" s="373"/>
      <c r="G4" s="373"/>
      <c r="H4" s="373"/>
      <c r="I4" s="373"/>
      <c r="J4" s="373"/>
      <c r="K4" s="373"/>
      <c r="L4" s="373"/>
      <c r="M4" s="374"/>
      <c r="N4" s="5"/>
      <c r="O4" s="5"/>
    </row>
    <row r="5" spans="2:15" ht="39" customHeight="1" thickBot="1">
      <c r="B5" s="5"/>
      <c r="C5" s="290" t="s">
        <v>766</v>
      </c>
      <c r="D5" s="378" t="s">
        <v>848</v>
      </c>
      <c r="E5" s="373"/>
      <c r="F5" s="373"/>
      <c r="G5" s="373"/>
      <c r="H5" s="373"/>
      <c r="I5" s="373"/>
      <c r="J5" s="373"/>
      <c r="K5" s="373"/>
      <c r="L5" s="373"/>
      <c r="M5" s="374"/>
      <c r="N5" s="5"/>
      <c r="O5" s="5"/>
    </row>
    <row r="6" spans="2:15" ht="56.25" customHeight="1" thickBot="1">
      <c r="B6" s="5"/>
      <c r="C6" s="326" t="s">
        <v>769</v>
      </c>
      <c r="D6" s="372" t="s">
        <v>816</v>
      </c>
      <c r="E6" s="373"/>
      <c r="F6" s="373"/>
      <c r="G6" s="373"/>
      <c r="H6" s="373"/>
      <c r="I6" s="373"/>
      <c r="J6" s="373"/>
      <c r="K6" s="373"/>
      <c r="L6" s="373"/>
      <c r="M6" s="374"/>
      <c r="N6" s="5"/>
      <c r="O6" s="5"/>
    </row>
    <row r="7" spans="2:15" ht="12.75">
      <c r="B7" s="4" t="s">
        <v>630</v>
      </c>
      <c r="C7" s="4"/>
      <c r="D7" s="4"/>
      <c r="E7" s="4"/>
      <c r="F7" s="4"/>
      <c r="G7" s="4"/>
      <c r="H7" s="4"/>
      <c r="I7" s="4"/>
      <c r="J7" s="4"/>
      <c r="K7" s="4"/>
      <c r="L7" s="4"/>
      <c r="M7" s="4"/>
      <c r="N7" s="5"/>
      <c r="O7" s="5"/>
    </row>
    <row r="8" spans="2:15" ht="13.5" thickBot="1">
      <c r="B8" s="4"/>
      <c r="C8" s="4" t="s">
        <v>631</v>
      </c>
      <c r="D8" s="4" t="s">
        <v>593</v>
      </c>
      <c r="E8" s="4"/>
      <c r="F8" s="4"/>
      <c r="G8" s="4"/>
      <c r="H8" s="4"/>
      <c r="I8" s="4"/>
      <c r="J8" s="4"/>
      <c r="K8" s="4"/>
      <c r="L8" s="4"/>
      <c r="M8" s="4"/>
      <c r="N8" s="5"/>
      <c r="O8" s="5"/>
    </row>
    <row r="9" spans="1:27" s="49" customFormat="1" ht="15" customHeight="1">
      <c r="A9" s="5"/>
      <c r="B9" s="379" t="s">
        <v>650</v>
      </c>
      <c r="C9" s="321" t="s">
        <v>632</v>
      </c>
      <c r="D9" s="385" t="s">
        <v>815</v>
      </c>
      <c r="E9" s="385"/>
      <c r="F9" s="385"/>
      <c r="G9" s="385"/>
      <c r="H9" s="385"/>
      <c r="I9" s="385"/>
      <c r="J9" s="385"/>
      <c r="K9" s="385"/>
      <c r="L9" s="385"/>
      <c r="M9" s="386"/>
      <c r="N9" s="5"/>
      <c r="O9" s="5"/>
      <c r="P9" s="5"/>
      <c r="Q9" s="5"/>
      <c r="R9" s="5"/>
      <c r="S9" s="5"/>
      <c r="T9" s="5"/>
      <c r="U9" s="5"/>
      <c r="V9" s="5"/>
      <c r="W9" s="5"/>
      <c r="X9" s="5"/>
      <c r="Y9" s="5"/>
      <c r="Z9" s="5"/>
      <c r="AA9" s="5"/>
    </row>
    <row r="10" spans="1:27" s="49" customFormat="1" ht="15" customHeight="1">
      <c r="A10" s="5"/>
      <c r="B10" s="380"/>
      <c r="C10" s="322" t="s">
        <v>633</v>
      </c>
      <c r="D10" s="387" t="s">
        <v>763</v>
      </c>
      <c r="E10" s="387"/>
      <c r="F10" s="387"/>
      <c r="G10" s="387"/>
      <c r="H10" s="387"/>
      <c r="I10" s="387"/>
      <c r="J10" s="387"/>
      <c r="K10" s="387"/>
      <c r="L10" s="387"/>
      <c r="M10" s="388"/>
      <c r="N10" s="5"/>
      <c r="O10" s="5"/>
      <c r="P10" s="5"/>
      <c r="Q10" s="5"/>
      <c r="R10" s="5"/>
      <c r="S10" s="5"/>
      <c r="T10" s="5"/>
      <c r="U10" s="5"/>
      <c r="V10" s="5"/>
      <c r="W10" s="5"/>
      <c r="X10" s="5"/>
      <c r="Y10" s="5"/>
      <c r="Z10" s="5"/>
      <c r="AA10" s="5"/>
    </row>
    <row r="11" spans="1:27" s="49" customFormat="1" ht="15" customHeight="1">
      <c r="A11" s="5"/>
      <c r="B11" s="380"/>
      <c r="C11" s="322" t="s">
        <v>62</v>
      </c>
      <c r="D11" s="387" t="s">
        <v>640</v>
      </c>
      <c r="E11" s="387"/>
      <c r="F11" s="387"/>
      <c r="G11" s="387"/>
      <c r="H11" s="387"/>
      <c r="I11" s="387"/>
      <c r="J11" s="387"/>
      <c r="K11" s="387"/>
      <c r="L11" s="387"/>
      <c r="M11" s="388"/>
      <c r="N11" s="5"/>
      <c r="O11" s="5"/>
      <c r="P11" s="5"/>
      <c r="Q11" s="5"/>
      <c r="R11" s="5"/>
      <c r="S11" s="5"/>
      <c r="T11" s="5"/>
      <c r="U11" s="5"/>
      <c r="V11" s="5"/>
      <c r="W11" s="5"/>
      <c r="X11" s="5"/>
      <c r="Y11" s="5"/>
      <c r="Z11" s="5"/>
      <c r="AA11" s="5"/>
    </row>
    <row r="12" spans="2:15" ht="15" customHeight="1">
      <c r="B12" s="381" t="s">
        <v>587</v>
      </c>
      <c r="C12" s="291" t="s">
        <v>634</v>
      </c>
      <c r="D12" s="370" t="s">
        <v>641</v>
      </c>
      <c r="E12" s="370"/>
      <c r="F12" s="370"/>
      <c r="G12" s="370"/>
      <c r="H12" s="370"/>
      <c r="I12" s="370"/>
      <c r="J12" s="370"/>
      <c r="K12" s="370"/>
      <c r="L12" s="370"/>
      <c r="M12" s="371"/>
      <c r="N12" s="5"/>
      <c r="O12" s="5"/>
    </row>
    <row r="13" spans="2:15" ht="15" customHeight="1">
      <c r="B13" s="381"/>
      <c r="C13" s="291" t="s">
        <v>437</v>
      </c>
      <c r="D13" s="370" t="s">
        <v>643</v>
      </c>
      <c r="E13" s="370"/>
      <c r="F13" s="370"/>
      <c r="G13" s="370"/>
      <c r="H13" s="370"/>
      <c r="I13" s="370"/>
      <c r="J13" s="370"/>
      <c r="K13" s="370"/>
      <c r="L13" s="370"/>
      <c r="M13" s="371"/>
      <c r="N13" s="5"/>
      <c r="O13" s="5"/>
    </row>
    <row r="14" spans="2:15" ht="15" customHeight="1">
      <c r="B14" s="381"/>
      <c r="C14" s="291" t="s">
        <v>594</v>
      </c>
      <c r="D14" s="370" t="s">
        <v>817</v>
      </c>
      <c r="E14" s="370"/>
      <c r="F14" s="370"/>
      <c r="G14" s="370"/>
      <c r="H14" s="370"/>
      <c r="I14" s="370"/>
      <c r="J14" s="370"/>
      <c r="K14" s="370"/>
      <c r="L14" s="370"/>
      <c r="M14" s="371"/>
      <c r="N14" s="5"/>
      <c r="O14" s="5"/>
    </row>
    <row r="15" spans="2:15" ht="15" customHeight="1">
      <c r="B15" s="381"/>
      <c r="C15" s="291" t="s">
        <v>635</v>
      </c>
      <c r="D15" s="370" t="s">
        <v>793</v>
      </c>
      <c r="E15" s="370"/>
      <c r="F15" s="370"/>
      <c r="G15" s="370"/>
      <c r="H15" s="370"/>
      <c r="I15" s="370"/>
      <c r="J15" s="370"/>
      <c r="K15" s="370"/>
      <c r="L15" s="370"/>
      <c r="M15" s="371"/>
      <c r="N15" s="5"/>
      <c r="O15" s="5"/>
    </row>
    <row r="16" spans="2:15" ht="15" customHeight="1">
      <c r="B16" s="381"/>
      <c r="C16" s="291" t="s">
        <v>636</v>
      </c>
      <c r="D16" s="389" t="s">
        <v>849</v>
      </c>
      <c r="E16" s="370"/>
      <c r="F16" s="370"/>
      <c r="G16" s="370"/>
      <c r="H16" s="370"/>
      <c r="I16" s="370"/>
      <c r="J16" s="370"/>
      <c r="K16" s="370"/>
      <c r="L16" s="370"/>
      <c r="M16" s="371"/>
      <c r="N16" s="5"/>
      <c r="O16" s="5"/>
    </row>
    <row r="17" spans="2:15" ht="15" customHeight="1">
      <c r="B17" s="381"/>
      <c r="C17" s="291" t="s">
        <v>637</v>
      </c>
      <c r="D17" s="370" t="s">
        <v>644</v>
      </c>
      <c r="E17" s="370"/>
      <c r="F17" s="370"/>
      <c r="G17" s="370"/>
      <c r="H17" s="370"/>
      <c r="I17" s="370"/>
      <c r="J17" s="370"/>
      <c r="K17" s="370"/>
      <c r="L17" s="370"/>
      <c r="M17" s="371"/>
      <c r="N17" s="5"/>
      <c r="O17" s="5"/>
    </row>
    <row r="18" spans="2:15" ht="15" customHeight="1">
      <c r="B18" s="381"/>
      <c r="C18" s="291" t="s">
        <v>638</v>
      </c>
      <c r="D18" s="370" t="s">
        <v>645</v>
      </c>
      <c r="E18" s="370"/>
      <c r="F18" s="370"/>
      <c r="G18" s="370"/>
      <c r="H18" s="370"/>
      <c r="I18" s="370"/>
      <c r="J18" s="370"/>
      <c r="K18" s="370"/>
      <c r="L18" s="370"/>
      <c r="M18" s="371"/>
      <c r="N18" s="5"/>
      <c r="O18" s="5"/>
    </row>
    <row r="19" spans="2:15" ht="15" customHeight="1">
      <c r="B19" s="381"/>
      <c r="C19" s="291" t="s">
        <v>646</v>
      </c>
      <c r="D19" s="370" t="s">
        <v>647</v>
      </c>
      <c r="E19" s="370"/>
      <c r="F19" s="370"/>
      <c r="G19" s="370"/>
      <c r="H19" s="370"/>
      <c r="I19" s="370"/>
      <c r="J19" s="370"/>
      <c r="K19" s="370"/>
      <c r="L19" s="370"/>
      <c r="M19" s="371"/>
      <c r="N19" s="5"/>
      <c r="O19" s="5"/>
    </row>
    <row r="20" spans="2:15" ht="15" customHeight="1">
      <c r="B20" s="381"/>
      <c r="C20" s="291" t="s">
        <v>639</v>
      </c>
      <c r="D20" s="370" t="s">
        <v>648</v>
      </c>
      <c r="E20" s="370"/>
      <c r="F20" s="370"/>
      <c r="G20" s="370"/>
      <c r="H20" s="370"/>
      <c r="I20" s="370"/>
      <c r="J20" s="370"/>
      <c r="K20" s="370"/>
      <c r="L20" s="370"/>
      <c r="M20" s="371"/>
      <c r="N20" s="5"/>
      <c r="O20" s="5"/>
    </row>
    <row r="21" spans="2:15" ht="15" customHeight="1">
      <c r="B21" s="381"/>
      <c r="C21" s="291" t="s">
        <v>591</v>
      </c>
      <c r="D21" s="370" t="s">
        <v>591</v>
      </c>
      <c r="E21" s="370"/>
      <c r="F21" s="370"/>
      <c r="G21" s="370"/>
      <c r="H21" s="370"/>
      <c r="I21" s="370"/>
      <c r="J21" s="370"/>
      <c r="K21" s="370"/>
      <c r="L21" s="370"/>
      <c r="M21" s="371"/>
      <c r="N21" s="5"/>
      <c r="O21" s="5"/>
    </row>
    <row r="22" spans="2:15" ht="15" customHeight="1" thickBot="1">
      <c r="B22" s="382"/>
      <c r="C22" s="292" t="s">
        <v>709</v>
      </c>
      <c r="D22" s="375" t="s">
        <v>711</v>
      </c>
      <c r="E22" s="375"/>
      <c r="F22" s="375"/>
      <c r="G22" s="375"/>
      <c r="H22" s="375"/>
      <c r="I22" s="375"/>
      <c r="J22" s="375"/>
      <c r="K22" s="375"/>
      <c r="L22" s="375"/>
      <c r="M22" s="376"/>
      <c r="N22" s="5"/>
      <c r="O22" s="5"/>
    </row>
    <row r="23" spans="2:15" ht="12.75">
      <c r="B23" s="4"/>
      <c r="C23" s="4"/>
      <c r="D23" s="4"/>
      <c r="E23" s="4"/>
      <c r="F23" s="4"/>
      <c r="G23" s="4"/>
      <c r="H23" s="4"/>
      <c r="I23" s="4"/>
      <c r="J23" s="4"/>
      <c r="K23" s="4"/>
      <c r="L23" s="4"/>
      <c r="M23" s="4"/>
      <c r="N23" s="5"/>
      <c r="O23" s="5"/>
    </row>
    <row r="24" spans="2:15" ht="12.75">
      <c r="B24" s="4" t="s">
        <v>716</v>
      </c>
      <c r="C24" s="4"/>
      <c r="D24" s="4"/>
      <c r="E24" s="4"/>
      <c r="F24" s="4"/>
      <c r="G24" s="4"/>
      <c r="H24" s="4"/>
      <c r="I24" s="4"/>
      <c r="J24" s="4"/>
      <c r="K24" s="4"/>
      <c r="L24" s="4"/>
      <c r="M24" s="4"/>
      <c r="N24" s="5"/>
      <c r="O24" s="5"/>
    </row>
    <row r="25" spans="2:15" ht="38.25" customHeight="1">
      <c r="B25" s="4"/>
      <c r="C25" s="383" t="s">
        <v>850</v>
      </c>
      <c r="D25" s="384"/>
      <c r="E25" s="384"/>
      <c r="F25" s="384"/>
      <c r="G25" s="384"/>
      <c r="H25" s="384"/>
      <c r="I25" s="384"/>
      <c r="J25" s="384"/>
      <c r="K25" s="384"/>
      <c r="L25" s="384"/>
      <c r="M25" s="384"/>
      <c r="N25" s="5"/>
      <c r="O25" s="5"/>
    </row>
    <row r="26" spans="2:15" ht="12.75">
      <c r="B26" s="4" t="s">
        <v>717</v>
      </c>
      <c r="C26" s="4"/>
      <c r="D26" s="4"/>
      <c r="E26" s="4"/>
      <c r="F26" s="4"/>
      <c r="G26" s="197"/>
      <c r="H26" s="197"/>
      <c r="I26" s="197"/>
      <c r="J26" s="197"/>
      <c r="K26" s="197"/>
      <c r="L26" s="197"/>
      <c r="M26" s="197"/>
      <c r="N26" s="5"/>
      <c r="O26" s="5"/>
    </row>
    <row r="27" spans="2:15" ht="12.75">
      <c r="B27" s="197"/>
      <c r="C27" s="197" t="s">
        <v>718</v>
      </c>
      <c r="D27" s="197"/>
      <c r="E27" s="279" t="s">
        <v>719</v>
      </c>
      <c r="F27" s="181"/>
      <c r="G27" s="197" t="s">
        <v>720</v>
      </c>
      <c r="H27" s="197"/>
      <c r="I27" s="197"/>
      <c r="J27" s="197"/>
      <c r="K27" s="197"/>
      <c r="L27" s="197"/>
      <c r="M27" s="197"/>
      <c r="N27" s="5"/>
      <c r="O27" s="5"/>
    </row>
    <row r="28" spans="2:15" ht="12.75">
      <c r="B28" s="197"/>
      <c r="C28" s="197" t="s">
        <v>767</v>
      </c>
      <c r="D28" s="197"/>
      <c r="E28" s="197"/>
      <c r="F28" s="197"/>
      <c r="G28" s="197"/>
      <c r="H28" s="197"/>
      <c r="I28" s="197"/>
      <c r="J28" s="197"/>
      <c r="K28" s="197"/>
      <c r="L28" s="197"/>
      <c r="M28" s="197"/>
      <c r="N28" s="5"/>
      <c r="O28" s="5"/>
    </row>
    <row r="29" spans="2:15" ht="12.75">
      <c r="B29" s="197"/>
      <c r="C29" s="197" t="s">
        <v>754</v>
      </c>
      <c r="D29" s="197"/>
      <c r="E29" s="197"/>
      <c r="F29" s="197"/>
      <c r="G29" s="197"/>
      <c r="H29" s="197"/>
      <c r="I29" s="197"/>
      <c r="J29" s="197"/>
      <c r="K29" s="197"/>
      <c r="L29" s="197"/>
      <c r="M29" s="197"/>
      <c r="N29" s="5"/>
      <c r="O29" s="5"/>
    </row>
    <row r="30" spans="2:15" ht="12.75">
      <c r="B30" s="197"/>
      <c r="C30" s="197" t="s">
        <v>768</v>
      </c>
      <c r="D30" s="197"/>
      <c r="E30" s="197"/>
      <c r="F30" s="197"/>
      <c r="G30" s="197"/>
      <c r="H30" s="197"/>
      <c r="I30" s="197"/>
      <c r="J30" s="197"/>
      <c r="K30" s="197"/>
      <c r="L30" s="197"/>
      <c r="M30" s="197"/>
      <c r="N30" s="197"/>
      <c r="O30" s="197"/>
    </row>
    <row r="31" spans="2:15" ht="12.75">
      <c r="B31" s="197"/>
      <c r="C31" s="197"/>
      <c r="D31" s="197"/>
      <c r="E31" s="197"/>
      <c r="F31" s="197"/>
      <c r="G31" s="197"/>
      <c r="H31" s="197"/>
      <c r="I31" s="197"/>
      <c r="J31" s="197"/>
      <c r="K31" s="197"/>
      <c r="L31" s="197"/>
      <c r="M31" s="197"/>
      <c r="N31" s="197"/>
      <c r="O31" s="197"/>
    </row>
    <row r="32" spans="2:15" ht="12.75">
      <c r="B32" s="4" t="s">
        <v>777</v>
      </c>
      <c r="C32" s="197"/>
      <c r="D32" s="197"/>
      <c r="E32" s="197"/>
      <c r="F32" s="197"/>
      <c r="G32" s="197"/>
      <c r="H32" s="197"/>
      <c r="I32" s="197"/>
      <c r="J32" s="197"/>
      <c r="K32" s="197"/>
      <c r="L32" s="197"/>
      <c r="M32" s="197"/>
      <c r="N32" s="197"/>
      <c r="O32" s="197"/>
    </row>
    <row r="33" spans="2:15" ht="12.75">
      <c r="B33" s="197"/>
      <c r="C33" s="197"/>
      <c r="D33" s="197"/>
      <c r="E33" s="197"/>
      <c r="F33" s="197"/>
      <c r="G33" s="197"/>
      <c r="H33" s="197"/>
      <c r="I33" s="197"/>
      <c r="J33" s="197"/>
      <c r="K33" s="197"/>
      <c r="L33" s="197"/>
      <c r="M33" s="197"/>
      <c r="N33" s="197"/>
      <c r="O33" s="197"/>
    </row>
    <row r="34" spans="2:15" ht="12.75">
      <c r="B34" s="197"/>
      <c r="C34" s="197"/>
      <c r="D34" s="197"/>
      <c r="E34" s="197"/>
      <c r="F34" s="197"/>
      <c r="G34" s="197"/>
      <c r="H34" s="197"/>
      <c r="I34" s="197"/>
      <c r="J34" s="197"/>
      <c r="K34" s="197"/>
      <c r="L34" s="197"/>
      <c r="M34" s="197"/>
      <c r="N34" s="197"/>
      <c r="O34" s="197"/>
    </row>
    <row r="35" spans="2:15" ht="12.75">
      <c r="B35" s="197"/>
      <c r="C35" s="197"/>
      <c r="D35" s="197"/>
      <c r="E35" s="197"/>
      <c r="F35" s="197"/>
      <c r="G35" s="197"/>
      <c r="H35" s="197"/>
      <c r="I35" s="197"/>
      <c r="J35" s="197"/>
      <c r="K35" s="197"/>
      <c r="L35" s="197"/>
      <c r="M35" s="197"/>
      <c r="N35" s="197"/>
      <c r="O35" s="197"/>
    </row>
    <row r="36" spans="2:15" ht="12.75">
      <c r="B36" s="197"/>
      <c r="C36" s="197"/>
      <c r="D36" s="197"/>
      <c r="E36" s="197"/>
      <c r="F36" s="197"/>
      <c r="G36" s="197"/>
      <c r="H36" s="197"/>
      <c r="I36" s="197"/>
      <c r="J36" s="197"/>
      <c r="K36" s="197"/>
      <c r="L36" s="197"/>
      <c r="M36" s="197"/>
      <c r="N36" s="197"/>
      <c r="O36" s="197"/>
    </row>
    <row r="37" spans="2:15" ht="12.75">
      <c r="B37" s="197"/>
      <c r="C37" s="197"/>
      <c r="D37" s="197"/>
      <c r="E37" s="197"/>
      <c r="F37" s="197"/>
      <c r="G37" s="197"/>
      <c r="H37" s="197"/>
      <c r="I37" s="197"/>
      <c r="J37" s="197"/>
      <c r="K37" s="197"/>
      <c r="L37" s="197"/>
      <c r="M37" s="197"/>
      <c r="N37" s="197"/>
      <c r="O37" s="197"/>
    </row>
    <row r="38" spans="2:15" ht="12.75">
      <c r="B38" s="197"/>
      <c r="C38" s="197"/>
      <c r="D38" s="197"/>
      <c r="E38" s="197"/>
      <c r="F38" s="197"/>
      <c r="G38" s="197"/>
      <c r="H38" s="197"/>
      <c r="I38" s="197"/>
      <c r="J38" s="197"/>
      <c r="K38" s="197"/>
      <c r="L38" s="197"/>
      <c r="M38" s="197"/>
      <c r="N38" s="197"/>
      <c r="O38" s="197"/>
    </row>
    <row r="39" spans="2:15" ht="12.75">
      <c r="B39" s="197"/>
      <c r="C39" s="197"/>
      <c r="D39" s="197"/>
      <c r="E39" s="197"/>
      <c r="F39" s="197"/>
      <c r="G39" s="197"/>
      <c r="H39" s="197"/>
      <c r="I39" s="197"/>
      <c r="J39" s="197"/>
      <c r="K39" s="197"/>
      <c r="L39" s="197"/>
      <c r="M39" s="197"/>
      <c r="N39" s="197"/>
      <c r="O39" s="197"/>
    </row>
    <row r="40" spans="2:15" ht="12.75">
      <c r="B40" s="197"/>
      <c r="C40" s="197"/>
      <c r="D40" s="197"/>
      <c r="E40" s="197"/>
      <c r="F40" s="197"/>
      <c r="G40" s="197"/>
      <c r="H40" s="197"/>
      <c r="I40" s="197"/>
      <c r="J40" s="197"/>
      <c r="K40" s="197"/>
      <c r="L40" s="197"/>
      <c r="M40" s="197"/>
      <c r="N40" s="197"/>
      <c r="O40" s="197"/>
    </row>
    <row r="41" spans="2:15" ht="12.75">
      <c r="B41" s="197"/>
      <c r="C41" s="197"/>
      <c r="D41" s="197"/>
      <c r="E41" s="197"/>
      <c r="F41" s="197"/>
      <c r="G41" s="197"/>
      <c r="H41" s="197"/>
      <c r="I41" s="197"/>
      <c r="J41" s="197"/>
      <c r="K41" s="197"/>
      <c r="L41" s="197"/>
      <c r="M41" s="197"/>
      <c r="N41" s="197"/>
      <c r="O41" s="197"/>
    </row>
    <row r="42" spans="2:15" ht="12.75">
      <c r="B42" s="197"/>
      <c r="C42" s="197"/>
      <c r="D42" s="197"/>
      <c r="E42" s="197"/>
      <c r="F42" s="197"/>
      <c r="G42" s="197"/>
      <c r="H42" s="197"/>
      <c r="I42" s="197"/>
      <c r="J42" s="197"/>
      <c r="K42" s="197"/>
      <c r="L42" s="197"/>
      <c r="M42" s="197"/>
      <c r="N42" s="197"/>
      <c r="O42" s="197"/>
    </row>
    <row r="43" spans="2:15" ht="12.75">
      <c r="B43" s="197"/>
      <c r="C43" s="197"/>
      <c r="D43" s="197"/>
      <c r="E43" s="197"/>
      <c r="F43" s="197"/>
      <c r="G43" s="197"/>
      <c r="H43" s="197"/>
      <c r="I43" s="197"/>
      <c r="J43" s="197"/>
      <c r="K43" s="197"/>
      <c r="L43" s="197"/>
      <c r="M43" s="197"/>
      <c r="N43" s="197"/>
      <c r="O43" s="197"/>
    </row>
    <row r="44" spans="2:15" ht="12.75">
      <c r="B44" s="197"/>
      <c r="C44" s="197"/>
      <c r="D44" s="197"/>
      <c r="E44" s="197"/>
      <c r="F44" s="197"/>
      <c r="G44" s="197"/>
      <c r="H44" s="197"/>
      <c r="I44" s="197"/>
      <c r="J44" s="197"/>
      <c r="K44" s="197"/>
      <c r="L44" s="197"/>
      <c r="M44" s="197"/>
      <c r="N44" s="197"/>
      <c r="O44" s="197"/>
    </row>
    <row r="45" spans="2:15" ht="12.75">
      <c r="B45" s="197"/>
      <c r="C45" s="197"/>
      <c r="D45" s="197"/>
      <c r="E45" s="197"/>
      <c r="F45" s="197"/>
      <c r="G45" s="197"/>
      <c r="H45" s="197"/>
      <c r="I45" s="197"/>
      <c r="J45" s="197"/>
      <c r="K45" s="197"/>
      <c r="L45" s="197"/>
      <c r="M45" s="197"/>
      <c r="N45" s="197"/>
      <c r="O45" s="197"/>
    </row>
    <row r="46" spans="2:15" ht="12.75">
      <c r="B46" s="197"/>
      <c r="C46" s="197"/>
      <c r="D46" s="197"/>
      <c r="E46" s="197"/>
      <c r="F46" s="197"/>
      <c r="G46" s="197"/>
      <c r="H46" s="197"/>
      <c r="I46" s="197"/>
      <c r="J46" s="197"/>
      <c r="K46" s="197"/>
      <c r="L46" s="197"/>
      <c r="M46" s="197"/>
      <c r="N46" s="197"/>
      <c r="O46" s="197"/>
    </row>
    <row r="47" spans="2:15" ht="12.75">
      <c r="B47" s="197"/>
      <c r="C47" s="197"/>
      <c r="D47" s="197"/>
      <c r="E47" s="197"/>
      <c r="F47" s="197"/>
      <c r="G47" s="197"/>
      <c r="H47" s="197"/>
      <c r="I47" s="197"/>
      <c r="J47" s="197"/>
      <c r="K47" s="197"/>
      <c r="L47" s="197"/>
      <c r="M47" s="197"/>
      <c r="N47" s="197"/>
      <c r="O47" s="197"/>
    </row>
    <row r="48" spans="2:15" ht="12.75">
      <c r="B48" s="197"/>
      <c r="C48" s="197"/>
      <c r="D48" s="197"/>
      <c r="E48" s="197"/>
      <c r="F48" s="197"/>
      <c r="G48" s="197"/>
      <c r="H48" s="197"/>
      <c r="I48" s="197"/>
      <c r="J48" s="197"/>
      <c r="K48" s="197"/>
      <c r="L48" s="197"/>
      <c r="M48" s="197"/>
      <c r="N48" s="197"/>
      <c r="O48" s="197"/>
    </row>
    <row r="49" spans="2:15" ht="12.75">
      <c r="B49" s="197"/>
      <c r="C49" s="197"/>
      <c r="D49" s="197"/>
      <c r="E49" s="197"/>
      <c r="F49" s="197"/>
      <c r="G49" s="197"/>
      <c r="H49" s="197"/>
      <c r="I49" s="197"/>
      <c r="J49" s="197"/>
      <c r="K49" s="197"/>
      <c r="L49" s="197"/>
      <c r="M49" s="197"/>
      <c r="N49" s="197"/>
      <c r="O49" s="197"/>
    </row>
    <row r="50" spans="2:15" ht="12.75">
      <c r="B50" s="197"/>
      <c r="C50" s="197"/>
      <c r="D50" s="197"/>
      <c r="E50" s="197"/>
      <c r="F50" s="197"/>
      <c r="G50" s="197"/>
      <c r="H50" s="197"/>
      <c r="I50" s="197"/>
      <c r="J50" s="197"/>
      <c r="K50" s="197"/>
      <c r="L50" s="197"/>
      <c r="M50" s="197"/>
      <c r="N50" s="197"/>
      <c r="O50" s="197"/>
    </row>
    <row r="51" spans="2:15" ht="12.75">
      <c r="B51" s="197"/>
      <c r="C51" s="197"/>
      <c r="D51" s="197"/>
      <c r="E51" s="197"/>
      <c r="F51" s="197"/>
      <c r="G51" s="197"/>
      <c r="H51" s="197"/>
      <c r="I51" s="197"/>
      <c r="J51" s="197"/>
      <c r="K51" s="197"/>
      <c r="L51" s="197"/>
      <c r="M51" s="197"/>
      <c r="N51" s="197"/>
      <c r="O51" s="197"/>
    </row>
    <row r="52" spans="2:15" ht="12.75">
      <c r="B52" s="197"/>
      <c r="C52" s="197"/>
      <c r="D52" s="197"/>
      <c r="E52" s="197"/>
      <c r="F52" s="197"/>
      <c r="G52" s="197"/>
      <c r="H52" s="197"/>
      <c r="I52" s="197"/>
      <c r="J52" s="197"/>
      <c r="K52" s="197"/>
      <c r="L52" s="197"/>
      <c r="M52" s="197"/>
      <c r="N52" s="197"/>
      <c r="O52" s="197"/>
    </row>
    <row r="53" spans="2:15" ht="12.75">
      <c r="B53" s="197"/>
      <c r="C53" s="197"/>
      <c r="D53" s="197"/>
      <c r="E53" s="197"/>
      <c r="F53" s="197"/>
      <c r="G53" s="197"/>
      <c r="H53" s="197"/>
      <c r="I53" s="197"/>
      <c r="J53" s="197"/>
      <c r="K53" s="197"/>
      <c r="L53" s="197"/>
      <c r="M53" s="197"/>
      <c r="N53" s="197"/>
      <c r="O53" s="197"/>
    </row>
    <row r="54" spans="2:15" ht="12.75">
      <c r="B54" s="197"/>
      <c r="C54" s="197"/>
      <c r="D54" s="197"/>
      <c r="E54" s="197"/>
      <c r="F54" s="197"/>
      <c r="G54" s="197"/>
      <c r="H54" s="197"/>
      <c r="I54" s="197"/>
      <c r="J54" s="197"/>
      <c r="K54" s="197"/>
      <c r="L54" s="197"/>
      <c r="M54" s="197"/>
      <c r="N54" s="197"/>
      <c r="O54" s="197"/>
    </row>
    <row r="55" spans="2:15" ht="12.75">
      <c r="B55" s="197"/>
      <c r="C55" s="197"/>
      <c r="D55" s="197"/>
      <c r="E55" s="197"/>
      <c r="F55" s="197"/>
      <c r="G55" s="197"/>
      <c r="H55" s="197"/>
      <c r="I55" s="197"/>
      <c r="J55" s="197"/>
      <c r="K55" s="197"/>
      <c r="L55" s="197"/>
      <c r="M55" s="197"/>
      <c r="N55" s="197"/>
      <c r="O55" s="197"/>
    </row>
    <row r="56" spans="2:15" ht="12.75">
      <c r="B56" s="197"/>
      <c r="C56" s="197"/>
      <c r="D56" s="197"/>
      <c r="E56" s="197"/>
      <c r="F56" s="197"/>
      <c r="G56" s="197"/>
      <c r="H56" s="197"/>
      <c r="I56" s="197"/>
      <c r="J56" s="197"/>
      <c r="K56" s="197"/>
      <c r="L56" s="197"/>
      <c r="M56" s="197"/>
      <c r="N56" s="197"/>
      <c r="O56" s="197"/>
    </row>
    <row r="57" spans="2:15" ht="12.75">
      <c r="B57" s="197"/>
      <c r="C57" s="197"/>
      <c r="D57" s="197"/>
      <c r="E57" s="197"/>
      <c r="F57" s="197"/>
      <c r="G57" s="197"/>
      <c r="H57" s="197"/>
      <c r="I57" s="197"/>
      <c r="J57" s="197"/>
      <c r="K57" s="197"/>
      <c r="L57" s="197"/>
      <c r="M57" s="197"/>
      <c r="N57" s="197"/>
      <c r="O57" s="197"/>
    </row>
    <row r="58" spans="2:15" ht="12.75">
      <c r="B58" s="197"/>
      <c r="C58" s="197"/>
      <c r="D58" s="197"/>
      <c r="E58" s="197"/>
      <c r="F58" s="197"/>
      <c r="G58" s="197"/>
      <c r="H58" s="197"/>
      <c r="I58" s="197"/>
      <c r="J58" s="197"/>
      <c r="K58" s="197"/>
      <c r="L58" s="197"/>
      <c r="M58" s="197"/>
      <c r="N58" s="197"/>
      <c r="O58" s="197"/>
    </row>
    <row r="59" spans="2:15" ht="12.75">
      <c r="B59" s="197"/>
      <c r="C59" s="197"/>
      <c r="D59" s="197"/>
      <c r="E59" s="197"/>
      <c r="F59" s="197"/>
      <c r="G59" s="197"/>
      <c r="H59" s="197"/>
      <c r="I59" s="197"/>
      <c r="J59" s="197"/>
      <c r="K59" s="197"/>
      <c r="L59" s="197"/>
      <c r="M59" s="197"/>
      <c r="N59" s="197"/>
      <c r="O59" s="197"/>
    </row>
    <row r="60" spans="2:15" ht="12.75">
      <c r="B60" s="197"/>
      <c r="C60" s="197"/>
      <c r="D60" s="197"/>
      <c r="E60" s="197"/>
      <c r="F60" s="197"/>
      <c r="G60" s="197"/>
      <c r="H60" s="197"/>
      <c r="I60" s="197"/>
      <c r="J60" s="197"/>
      <c r="K60" s="197"/>
      <c r="L60" s="197"/>
      <c r="M60" s="197"/>
      <c r="N60" s="197"/>
      <c r="O60" s="197"/>
    </row>
    <row r="61" spans="2:15" ht="12.75">
      <c r="B61" s="197"/>
      <c r="C61" s="197"/>
      <c r="D61" s="197"/>
      <c r="E61" s="197"/>
      <c r="F61" s="197"/>
      <c r="G61" s="197"/>
      <c r="H61" s="197"/>
      <c r="I61" s="197"/>
      <c r="J61" s="197"/>
      <c r="K61" s="197"/>
      <c r="L61" s="197"/>
      <c r="M61" s="197"/>
      <c r="N61" s="197"/>
      <c r="O61" s="197"/>
    </row>
    <row r="62" spans="2:15" ht="12.75">
      <c r="B62" s="197"/>
      <c r="C62" s="197"/>
      <c r="D62" s="197"/>
      <c r="E62" s="197"/>
      <c r="F62" s="197"/>
      <c r="G62" s="197"/>
      <c r="H62" s="197"/>
      <c r="I62" s="197"/>
      <c r="J62" s="197"/>
      <c r="K62" s="197"/>
      <c r="L62" s="197"/>
      <c r="M62" s="197"/>
      <c r="N62" s="197"/>
      <c r="O62" s="197"/>
    </row>
    <row r="63" spans="2:15" ht="12.75">
      <c r="B63" s="197"/>
      <c r="C63" s="197"/>
      <c r="D63" s="197"/>
      <c r="E63" s="197"/>
      <c r="F63" s="197"/>
      <c r="G63" s="197"/>
      <c r="H63" s="197"/>
      <c r="I63" s="197"/>
      <c r="J63" s="197"/>
      <c r="K63" s="197"/>
      <c r="L63" s="197"/>
      <c r="M63" s="197"/>
      <c r="N63" s="197"/>
      <c r="O63" s="197"/>
    </row>
    <row r="64" spans="2:15" ht="12.75">
      <c r="B64" s="197"/>
      <c r="C64" s="197"/>
      <c r="D64" s="197"/>
      <c r="E64" s="197"/>
      <c r="F64" s="197"/>
      <c r="G64" s="197"/>
      <c r="H64" s="197"/>
      <c r="I64" s="197"/>
      <c r="J64" s="197"/>
      <c r="K64" s="197"/>
      <c r="L64" s="197"/>
      <c r="M64" s="197"/>
      <c r="N64" s="197"/>
      <c r="O64" s="197"/>
    </row>
    <row r="65" spans="2:15" ht="12.75">
      <c r="B65" s="197"/>
      <c r="C65" s="197"/>
      <c r="D65" s="197"/>
      <c r="E65" s="197"/>
      <c r="F65" s="197"/>
      <c r="G65" s="197"/>
      <c r="H65" s="197"/>
      <c r="I65" s="197"/>
      <c r="J65" s="197"/>
      <c r="K65" s="197"/>
      <c r="L65" s="197"/>
      <c r="M65" s="197"/>
      <c r="N65" s="197"/>
      <c r="O65" s="197"/>
    </row>
    <row r="66" spans="2:15" ht="12.75">
      <c r="B66" s="197"/>
      <c r="C66" s="197"/>
      <c r="D66" s="197"/>
      <c r="E66" s="197"/>
      <c r="F66" s="197"/>
      <c r="G66" s="197"/>
      <c r="H66" s="197"/>
      <c r="I66" s="197"/>
      <c r="J66" s="197"/>
      <c r="K66" s="197"/>
      <c r="L66" s="197"/>
      <c r="M66" s="197"/>
      <c r="N66" s="197"/>
      <c r="O66" s="197"/>
    </row>
    <row r="67" spans="2:15" ht="12.75">
      <c r="B67" s="197"/>
      <c r="C67" s="197"/>
      <c r="D67" s="197"/>
      <c r="E67" s="197"/>
      <c r="F67" s="197"/>
      <c r="G67" s="197"/>
      <c r="H67" s="197"/>
      <c r="I67" s="197"/>
      <c r="J67" s="197"/>
      <c r="K67" s="197"/>
      <c r="L67" s="197"/>
      <c r="M67" s="197"/>
      <c r="N67" s="197"/>
      <c r="O67" s="197"/>
    </row>
    <row r="68" spans="2:15" ht="12.75">
      <c r="B68" s="197"/>
      <c r="C68" s="197"/>
      <c r="D68" s="197"/>
      <c r="E68" s="197"/>
      <c r="F68" s="197"/>
      <c r="G68" s="197"/>
      <c r="H68" s="197"/>
      <c r="I68" s="197"/>
      <c r="J68" s="197"/>
      <c r="K68" s="197"/>
      <c r="L68" s="197"/>
      <c r="M68" s="197"/>
      <c r="N68" s="197"/>
      <c r="O68" s="197"/>
    </row>
    <row r="69" spans="2:15" ht="12.75">
      <c r="B69" s="197"/>
      <c r="C69" s="197"/>
      <c r="D69" s="197"/>
      <c r="E69" s="197"/>
      <c r="F69" s="197"/>
      <c r="G69" s="197"/>
      <c r="H69" s="197"/>
      <c r="I69" s="197"/>
      <c r="J69" s="197"/>
      <c r="K69" s="197"/>
      <c r="L69" s="197"/>
      <c r="M69" s="197"/>
      <c r="N69" s="197"/>
      <c r="O69" s="197"/>
    </row>
    <row r="70" spans="2:15" ht="12.75">
      <c r="B70" s="197"/>
      <c r="C70" s="197"/>
      <c r="D70" s="197"/>
      <c r="E70" s="197"/>
      <c r="F70" s="197"/>
      <c r="G70" s="197"/>
      <c r="H70" s="197"/>
      <c r="I70" s="197"/>
      <c r="J70" s="197"/>
      <c r="K70" s="197"/>
      <c r="L70" s="197"/>
      <c r="M70" s="197"/>
      <c r="N70" s="197"/>
      <c r="O70" s="197"/>
    </row>
    <row r="71" spans="2:15" ht="12.75">
      <c r="B71" s="197"/>
      <c r="C71" s="197"/>
      <c r="D71" s="197"/>
      <c r="E71" s="197"/>
      <c r="F71" s="197"/>
      <c r="G71" s="197"/>
      <c r="H71" s="197"/>
      <c r="I71" s="197"/>
      <c r="J71" s="197"/>
      <c r="K71" s="197"/>
      <c r="L71" s="197"/>
      <c r="M71" s="197"/>
      <c r="N71" s="197"/>
      <c r="O71" s="197"/>
    </row>
    <row r="72" spans="2:15" ht="12.75">
      <c r="B72" s="197"/>
      <c r="C72" s="197"/>
      <c r="D72" s="197"/>
      <c r="E72" s="197"/>
      <c r="F72" s="197"/>
      <c r="G72" s="197"/>
      <c r="H72" s="197"/>
      <c r="I72" s="197"/>
      <c r="J72" s="197"/>
      <c r="K72" s="197"/>
      <c r="L72" s="197"/>
      <c r="M72" s="197"/>
      <c r="N72" s="197"/>
      <c r="O72" s="197"/>
    </row>
    <row r="73" spans="2:15" ht="12.75">
      <c r="B73" s="197"/>
      <c r="C73" s="197"/>
      <c r="D73" s="197"/>
      <c r="E73" s="197"/>
      <c r="F73" s="197"/>
      <c r="G73" s="197"/>
      <c r="H73" s="197"/>
      <c r="I73" s="197"/>
      <c r="J73" s="197"/>
      <c r="K73" s="197"/>
      <c r="L73" s="197"/>
      <c r="M73" s="197"/>
      <c r="N73" s="197"/>
      <c r="O73" s="197"/>
    </row>
    <row r="74" spans="2:15" ht="12.75">
      <c r="B74" s="197"/>
      <c r="C74" s="197"/>
      <c r="D74" s="197"/>
      <c r="E74" s="197"/>
      <c r="F74" s="197"/>
      <c r="G74" s="197"/>
      <c r="H74" s="197"/>
      <c r="I74" s="197"/>
      <c r="J74" s="197"/>
      <c r="K74" s="197"/>
      <c r="L74" s="197"/>
      <c r="M74" s="197"/>
      <c r="N74" s="197"/>
      <c r="O74" s="197"/>
    </row>
    <row r="75" spans="2:15" ht="12.75">
      <c r="B75" s="197"/>
      <c r="C75" s="197"/>
      <c r="D75" s="197"/>
      <c r="E75" s="197"/>
      <c r="F75" s="197"/>
      <c r="G75" s="197"/>
      <c r="H75" s="197"/>
      <c r="I75" s="197"/>
      <c r="J75" s="197"/>
      <c r="K75" s="197"/>
      <c r="L75" s="197"/>
      <c r="M75" s="197"/>
      <c r="N75" s="197"/>
      <c r="O75" s="197"/>
    </row>
    <row r="76" spans="2:15" ht="12.75">
      <c r="B76" s="197"/>
      <c r="C76" s="197"/>
      <c r="D76" s="197"/>
      <c r="E76" s="197"/>
      <c r="F76" s="197"/>
      <c r="G76" s="197"/>
      <c r="H76" s="197"/>
      <c r="I76" s="197"/>
      <c r="J76" s="197"/>
      <c r="K76" s="197"/>
      <c r="L76" s="197"/>
      <c r="M76" s="197"/>
      <c r="N76" s="197"/>
      <c r="O76" s="197"/>
    </row>
    <row r="77" spans="2:15" ht="12.75">
      <c r="B77" s="197"/>
      <c r="C77" s="197"/>
      <c r="D77" s="197"/>
      <c r="E77" s="197"/>
      <c r="F77" s="197"/>
      <c r="G77" s="197"/>
      <c r="H77" s="197"/>
      <c r="I77" s="197"/>
      <c r="J77" s="197"/>
      <c r="K77" s="197"/>
      <c r="L77" s="197"/>
      <c r="M77" s="197"/>
      <c r="N77" s="197"/>
      <c r="O77" s="197"/>
    </row>
    <row r="78" spans="2:15" ht="12.75">
      <c r="B78" s="197"/>
      <c r="C78" s="197"/>
      <c r="D78" s="197"/>
      <c r="E78" s="197"/>
      <c r="F78" s="197"/>
      <c r="G78" s="197"/>
      <c r="H78" s="197"/>
      <c r="I78" s="197"/>
      <c r="J78" s="197"/>
      <c r="K78" s="197"/>
      <c r="L78" s="197"/>
      <c r="M78" s="197"/>
      <c r="N78" s="197"/>
      <c r="O78" s="197"/>
    </row>
    <row r="79" spans="2:15" ht="12.75">
      <c r="B79" s="197"/>
      <c r="C79" s="197"/>
      <c r="D79" s="197"/>
      <c r="E79" s="197"/>
      <c r="F79" s="197"/>
      <c r="G79" s="197"/>
      <c r="H79" s="197"/>
      <c r="I79" s="197"/>
      <c r="J79" s="197"/>
      <c r="K79" s="197"/>
      <c r="L79" s="197"/>
      <c r="M79" s="197"/>
      <c r="N79" s="197"/>
      <c r="O79" s="197"/>
    </row>
    <row r="80" spans="2:15" ht="12.75">
      <c r="B80" s="197"/>
      <c r="C80" s="197"/>
      <c r="D80" s="197"/>
      <c r="E80" s="197"/>
      <c r="F80" s="197"/>
      <c r="G80" s="197"/>
      <c r="H80" s="197"/>
      <c r="I80" s="197"/>
      <c r="J80" s="197"/>
      <c r="K80" s="197"/>
      <c r="L80" s="197"/>
      <c r="M80" s="197"/>
      <c r="N80" s="197"/>
      <c r="O80" s="197"/>
    </row>
    <row r="81" spans="2:15" ht="12.75">
      <c r="B81" s="197"/>
      <c r="C81" s="197"/>
      <c r="D81" s="197"/>
      <c r="E81" s="197"/>
      <c r="F81" s="197"/>
      <c r="G81" s="197"/>
      <c r="H81" s="197"/>
      <c r="I81" s="197"/>
      <c r="J81" s="197"/>
      <c r="K81" s="197"/>
      <c r="L81" s="197"/>
      <c r="M81" s="197"/>
      <c r="N81" s="197"/>
      <c r="O81" s="197"/>
    </row>
    <row r="82" spans="2:15" ht="12.75">
      <c r="B82" s="197"/>
      <c r="C82" s="197"/>
      <c r="D82" s="197"/>
      <c r="E82" s="197"/>
      <c r="F82" s="197"/>
      <c r="G82" s="197"/>
      <c r="H82" s="197"/>
      <c r="I82" s="197"/>
      <c r="J82" s="197"/>
      <c r="K82" s="197"/>
      <c r="L82" s="197"/>
      <c r="M82" s="197"/>
      <c r="N82" s="197"/>
      <c r="O82" s="197"/>
    </row>
    <row r="83" spans="2:15" ht="12.75">
      <c r="B83" s="197"/>
      <c r="C83" s="197"/>
      <c r="D83" s="197"/>
      <c r="E83" s="197"/>
      <c r="F83" s="197"/>
      <c r="G83" s="197"/>
      <c r="H83" s="197"/>
      <c r="I83" s="197"/>
      <c r="J83" s="197"/>
      <c r="K83" s="197"/>
      <c r="L83" s="197"/>
      <c r="M83" s="197"/>
      <c r="N83" s="197"/>
      <c r="O83" s="197"/>
    </row>
    <row r="84" spans="2:15" ht="12.75">
      <c r="B84" s="197"/>
      <c r="C84" s="197"/>
      <c r="D84" s="197"/>
      <c r="E84" s="197"/>
      <c r="F84" s="197"/>
      <c r="G84" s="197"/>
      <c r="H84" s="197"/>
      <c r="I84" s="197"/>
      <c r="J84" s="197"/>
      <c r="K84" s="197"/>
      <c r="L84" s="197"/>
      <c r="M84" s="197"/>
      <c r="N84" s="197"/>
      <c r="O84" s="197"/>
    </row>
    <row r="85" spans="2:15" ht="12.75">
      <c r="B85" s="197"/>
      <c r="C85" s="197"/>
      <c r="D85" s="197"/>
      <c r="E85" s="197"/>
      <c r="F85" s="197"/>
      <c r="G85" s="197"/>
      <c r="H85" s="197"/>
      <c r="I85" s="197"/>
      <c r="J85" s="197"/>
      <c r="K85" s="197"/>
      <c r="L85" s="197"/>
      <c r="M85" s="197"/>
      <c r="N85" s="197"/>
      <c r="O85" s="197"/>
    </row>
    <row r="86" spans="2:15" ht="12.75">
      <c r="B86" s="197"/>
      <c r="C86" s="197"/>
      <c r="D86" s="197"/>
      <c r="E86" s="197"/>
      <c r="F86" s="197"/>
      <c r="G86" s="197"/>
      <c r="H86" s="197"/>
      <c r="I86" s="197"/>
      <c r="J86" s="197"/>
      <c r="K86" s="197"/>
      <c r="L86" s="197"/>
      <c r="M86" s="197"/>
      <c r="N86" s="197"/>
      <c r="O86" s="197"/>
    </row>
    <row r="87" spans="2:15" ht="12.75">
      <c r="B87" s="197"/>
      <c r="C87" s="197"/>
      <c r="D87" s="197"/>
      <c r="E87" s="197"/>
      <c r="F87" s="197"/>
      <c r="G87" s="197"/>
      <c r="H87" s="197"/>
      <c r="I87" s="197"/>
      <c r="J87" s="197"/>
      <c r="K87" s="197"/>
      <c r="L87" s="197"/>
      <c r="M87" s="197"/>
      <c r="N87" s="197"/>
      <c r="O87" s="197"/>
    </row>
    <row r="88" spans="2:15" ht="12.75">
      <c r="B88" s="197"/>
      <c r="C88" s="197"/>
      <c r="D88" s="197"/>
      <c r="E88" s="197"/>
      <c r="F88" s="197"/>
      <c r="G88" s="197"/>
      <c r="H88" s="197"/>
      <c r="I88" s="197"/>
      <c r="J88" s="197"/>
      <c r="K88" s="197"/>
      <c r="L88" s="197"/>
      <c r="M88" s="197"/>
      <c r="N88" s="197"/>
      <c r="O88" s="197"/>
    </row>
    <row r="89" spans="2:15" ht="12.75">
      <c r="B89" s="197"/>
      <c r="C89" s="197"/>
      <c r="D89" s="197"/>
      <c r="E89" s="197"/>
      <c r="F89" s="197"/>
      <c r="G89" s="197"/>
      <c r="H89" s="197"/>
      <c r="I89" s="197"/>
      <c r="J89" s="197"/>
      <c r="K89" s="197"/>
      <c r="L89" s="197"/>
      <c r="M89" s="197"/>
      <c r="N89" s="197"/>
      <c r="O89" s="197"/>
    </row>
    <row r="90" spans="2:15" ht="12.75">
      <c r="B90" s="197"/>
      <c r="C90" s="197"/>
      <c r="D90" s="197"/>
      <c r="E90" s="197"/>
      <c r="F90" s="197"/>
      <c r="G90" s="197"/>
      <c r="H90" s="197"/>
      <c r="I90" s="197"/>
      <c r="J90" s="197"/>
      <c r="K90" s="197"/>
      <c r="L90" s="197"/>
      <c r="M90" s="197"/>
      <c r="N90" s="197"/>
      <c r="O90" s="197"/>
    </row>
    <row r="91" spans="2:15" ht="12.75">
      <c r="B91" s="197"/>
      <c r="C91" s="197"/>
      <c r="D91" s="197"/>
      <c r="E91" s="197"/>
      <c r="F91" s="197"/>
      <c r="G91" s="197"/>
      <c r="H91" s="197"/>
      <c r="I91" s="197"/>
      <c r="J91" s="197"/>
      <c r="K91" s="197"/>
      <c r="L91" s="197"/>
      <c r="M91" s="197"/>
      <c r="N91" s="197"/>
      <c r="O91" s="197"/>
    </row>
    <row r="92" spans="2:15" ht="12.75">
      <c r="B92" s="197"/>
      <c r="C92" s="197"/>
      <c r="D92" s="197"/>
      <c r="E92" s="197"/>
      <c r="F92" s="197"/>
      <c r="G92" s="197"/>
      <c r="H92" s="197"/>
      <c r="I92" s="197"/>
      <c r="J92" s="197"/>
      <c r="K92" s="197"/>
      <c r="L92" s="197"/>
      <c r="M92" s="197"/>
      <c r="N92" s="197"/>
      <c r="O92" s="197"/>
    </row>
    <row r="93" spans="2:15" ht="12.75">
      <c r="B93" s="197"/>
      <c r="C93" s="197"/>
      <c r="D93" s="197"/>
      <c r="E93" s="197"/>
      <c r="F93" s="197"/>
      <c r="G93" s="197"/>
      <c r="H93" s="197"/>
      <c r="I93" s="197"/>
      <c r="J93" s="197"/>
      <c r="K93" s="197"/>
      <c r="L93" s="197"/>
      <c r="M93" s="197"/>
      <c r="N93" s="197"/>
      <c r="O93" s="197"/>
    </row>
    <row r="94" spans="2:15" ht="12.75">
      <c r="B94" s="197"/>
      <c r="C94" s="197"/>
      <c r="D94" s="197"/>
      <c r="E94" s="197"/>
      <c r="F94" s="197"/>
      <c r="G94" s="197"/>
      <c r="H94" s="197"/>
      <c r="I94" s="197"/>
      <c r="J94" s="197"/>
      <c r="K94" s="197"/>
      <c r="L94" s="197"/>
      <c r="M94" s="197"/>
      <c r="N94" s="197"/>
      <c r="O94" s="197"/>
    </row>
    <row r="95" spans="2:15" ht="12.75">
      <c r="B95" s="197"/>
      <c r="C95" s="197"/>
      <c r="D95" s="197"/>
      <c r="E95" s="197"/>
      <c r="F95" s="197"/>
      <c r="G95" s="197"/>
      <c r="H95" s="197"/>
      <c r="I95" s="197"/>
      <c r="J95" s="197"/>
      <c r="K95" s="197"/>
      <c r="L95" s="197"/>
      <c r="M95" s="197"/>
      <c r="N95" s="197"/>
      <c r="O95" s="197"/>
    </row>
    <row r="96" spans="2:15" ht="12.75">
      <c r="B96" s="197"/>
      <c r="C96" s="197"/>
      <c r="D96" s="197"/>
      <c r="E96" s="197"/>
      <c r="F96" s="197"/>
      <c r="G96" s="197"/>
      <c r="H96" s="197"/>
      <c r="I96" s="197"/>
      <c r="J96" s="197"/>
      <c r="K96" s="197"/>
      <c r="L96" s="197"/>
      <c r="M96" s="197"/>
      <c r="N96" s="197"/>
      <c r="O96" s="197"/>
    </row>
    <row r="97" spans="2:15" ht="12.75">
      <c r="B97" s="197"/>
      <c r="C97" s="197"/>
      <c r="D97" s="197"/>
      <c r="E97" s="197"/>
      <c r="F97" s="197"/>
      <c r="G97" s="197"/>
      <c r="H97" s="197"/>
      <c r="I97" s="197"/>
      <c r="J97" s="197"/>
      <c r="K97" s="197"/>
      <c r="L97" s="197"/>
      <c r="M97" s="197"/>
      <c r="N97" s="197"/>
      <c r="O97" s="197"/>
    </row>
    <row r="98" spans="2:15" ht="12.75">
      <c r="B98" s="197"/>
      <c r="C98" s="197"/>
      <c r="D98" s="197"/>
      <c r="E98" s="197"/>
      <c r="F98" s="197"/>
      <c r="G98" s="197"/>
      <c r="H98" s="197"/>
      <c r="I98" s="197"/>
      <c r="J98" s="197"/>
      <c r="K98" s="197"/>
      <c r="L98" s="197"/>
      <c r="M98" s="197"/>
      <c r="N98" s="197"/>
      <c r="O98" s="197"/>
    </row>
    <row r="99" spans="2:15" ht="12.75">
      <c r="B99" s="197"/>
      <c r="C99" s="197"/>
      <c r="D99" s="197"/>
      <c r="E99" s="197"/>
      <c r="F99" s="197"/>
      <c r="G99" s="197"/>
      <c r="H99" s="197"/>
      <c r="I99" s="197"/>
      <c r="J99" s="197"/>
      <c r="K99" s="197"/>
      <c r="L99" s="197"/>
      <c r="M99" s="197"/>
      <c r="N99" s="197"/>
      <c r="O99" s="197"/>
    </row>
    <row r="100" spans="2:15" ht="12.75">
      <c r="B100" s="197"/>
      <c r="C100" s="197"/>
      <c r="D100" s="197"/>
      <c r="E100" s="197"/>
      <c r="F100" s="197"/>
      <c r="G100" s="197"/>
      <c r="H100" s="197"/>
      <c r="I100" s="197"/>
      <c r="J100" s="197"/>
      <c r="K100" s="197"/>
      <c r="L100" s="197"/>
      <c r="M100" s="197"/>
      <c r="N100" s="197"/>
      <c r="O100" s="197"/>
    </row>
    <row r="101" spans="2:15" ht="12.75">
      <c r="B101" s="197"/>
      <c r="C101" s="197"/>
      <c r="D101" s="197"/>
      <c r="E101" s="197"/>
      <c r="F101" s="197"/>
      <c r="G101" s="197"/>
      <c r="H101" s="197"/>
      <c r="I101" s="197"/>
      <c r="J101" s="197"/>
      <c r="K101" s="197"/>
      <c r="L101" s="197"/>
      <c r="M101" s="197"/>
      <c r="N101" s="197"/>
      <c r="O101" s="197"/>
    </row>
    <row r="102" spans="2:15" ht="12.75">
      <c r="B102" s="197"/>
      <c r="C102" s="197"/>
      <c r="D102" s="197"/>
      <c r="E102" s="197"/>
      <c r="F102" s="197"/>
      <c r="G102" s="197"/>
      <c r="H102" s="197"/>
      <c r="I102" s="197"/>
      <c r="J102" s="197"/>
      <c r="K102" s="197"/>
      <c r="L102" s="197"/>
      <c r="M102" s="197"/>
      <c r="N102" s="197"/>
      <c r="O102" s="197"/>
    </row>
    <row r="103" spans="2:15" ht="12.75">
      <c r="B103" s="197"/>
      <c r="C103" s="197"/>
      <c r="D103" s="197"/>
      <c r="E103" s="197"/>
      <c r="F103" s="197"/>
      <c r="G103" s="197"/>
      <c r="H103" s="197"/>
      <c r="I103" s="197"/>
      <c r="J103" s="197"/>
      <c r="K103" s="197"/>
      <c r="L103" s="197"/>
      <c r="M103" s="197"/>
      <c r="N103" s="197"/>
      <c r="O103" s="197"/>
    </row>
    <row r="104" spans="2:15" ht="12.75">
      <c r="B104" s="197"/>
      <c r="C104" s="197"/>
      <c r="D104" s="197"/>
      <c r="E104" s="197"/>
      <c r="F104" s="197"/>
      <c r="G104" s="197"/>
      <c r="H104" s="197"/>
      <c r="I104" s="197"/>
      <c r="J104" s="197"/>
      <c r="K104" s="197"/>
      <c r="L104" s="197"/>
      <c r="M104" s="197"/>
      <c r="N104" s="197"/>
      <c r="O104" s="197"/>
    </row>
    <row r="105" spans="2:15" ht="12.75">
      <c r="B105" s="197"/>
      <c r="C105" s="197"/>
      <c r="D105" s="197"/>
      <c r="E105" s="197"/>
      <c r="F105" s="197"/>
      <c r="G105" s="197"/>
      <c r="H105" s="197"/>
      <c r="I105" s="197"/>
      <c r="J105" s="197"/>
      <c r="K105" s="197"/>
      <c r="L105" s="197"/>
      <c r="M105" s="197"/>
      <c r="N105" s="197"/>
      <c r="O105" s="197"/>
    </row>
    <row r="106" spans="2:15" ht="12.75">
      <c r="B106" s="197"/>
      <c r="C106" s="197"/>
      <c r="D106" s="197"/>
      <c r="E106" s="197"/>
      <c r="F106" s="197"/>
      <c r="G106" s="197"/>
      <c r="H106" s="197"/>
      <c r="I106" s="197"/>
      <c r="J106" s="197"/>
      <c r="K106" s="197"/>
      <c r="L106" s="197"/>
      <c r="M106" s="197"/>
      <c r="N106" s="197"/>
      <c r="O106" s="197"/>
    </row>
    <row r="107" spans="2:15" ht="12.75">
      <c r="B107" s="197"/>
      <c r="C107" s="197"/>
      <c r="D107" s="197"/>
      <c r="E107" s="197"/>
      <c r="F107" s="197"/>
      <c r="G107" s="197"/>
      <c r="H107" s="197"/>
      <c r="I107" s="197"/>
      <c r="J107" s="197"/>
      <c r="K107" s="197"/>
      <c r="L107" s="197"/>
      <c r="M107" s="197"/>
      <c r="N107" s="197"/>
      <c r="O107" s="197"/>
    </row>
    <row r="108" spans="2:15" ht="12.75">
      <c r="B108" s="197"/>
      <c r="C108" s="197"/>
      <c r="D108" s="197"/>
      <c r="E108" s="197"/>
      <c r="F108" s="197"/>
      <c r="G108" s="197"/>
      <c r="H108" s="197"/>
      <c r="I108" s="197"/>
      <c r="J108" s="197"/>
      <c r="K108" s="197"/>
      <c r="L108" s="197"/>
      <c r="M108" s="197"/>
      <c r="N108" s="197"/>
      <c r="O108" s="197"/>
    </row>
    <row r="109" spans="2:15" ht="12.75">
      <c r="B109" s="197"/>
      <c r="C109" s="197"/>
      <c r="D109" s="197"/>
      <c r="E109" s="197"/>
      <c r="F109" s="197"/>
      <c r="G109" s="197"/>
      <c r="H109" s="197"/>
      <c r="I109" s="197"/>
      <c r="J109" s="197"/>
      <c r="K109" s="197"/>
      <c r="L109" s="197"/>
      <c r="M109" s="197"/>
      <c r="N109" s="197"/>
      <c r="O109" s="197"/>
    </row>
    <row r="110" spans="2:15" ht="12.75">
      <c r="B110" s="197"/>
      <c r="C110" s="197"/>
      <c r="D110" s="197"/>
      <c r="E110" s="197"/>
      <c r="F110" s="197"/>
      <c r="G110" s="197"/>
      <c r="H110" s="197"/>
      <c r="I110" s="197"/>
      <c r="J110" s="197"/>
      <c r="K110" s="197"/>
      <c r="L110" s="197"/>
      <c r="M110" s="197"/>
      <c r="N110" s="197"/>
      <c r="O110" s="197"/>
    </row>
    <row r="111" spans="2:15" ht="12.75">
      <c r="B111" s="197"/>
      <c r="C111" s="197"/>
      <c r="D111" s="197"/>
      <c r="E111" s="197"/>
      <c r="F111" s="197"/>
      <c r="G111" s="197"/>
      <c r="H111" s="197"/>
      <c r="I111" s="197"/>
      <c r="J111" s="197"/>
      <c r="K111" s="197"/>
      <c r="L111" s="197"/>
      <c r="M111" s="197"/>
      <c r="N111" s="197"/>
      <c r="O111" s="197"/>
    </row>
    <row r="112" spans="2:15" ht="12.75">
      <c r="B112" s="197"/>
      <c r="C112" s="197"/>
      <c r="D112" s="197"/>
      <c r="E112" s="197"/>
      <c r="F112" s="197"/>
      <c r="G112" s="197"/>
      <c r="H112" s="197"/>
      <c r="I112" s="197"/>
      <c r="J112" s="197"/>
      <c r="K112" s="197"/>
      <c r="L112" s="197"/>
      <c r="M112" s="197"/>
      <c r="N112" s="197"/>
      <c r="O112" s="197"/>
    </row>
    <row r="113" spans="2:15" ht="12.75">
      <c r="B113" s="197"/>
      <c r="C113" s="197"/>
      <c r="D113" s="197"/>
      <c r="E113" s="197"/>
      <c r="F113" s="197"/>
      <c r="G113" s="197"/>
      <c r="H113" s="197"/>
      <c r="I113" s="197"/>
      <c r="J113" s="197"/>
      <c r="K113" s="197"/>
      <c r="L113" s="197"/>
      <c r="M113" s="197"/>
      <c r="N113" s="197"/>
      <c r="O113" s="197"/>
    </row>
    <row r="114" spans="2:15" ht="12.75">
      <c r="B114" s="197"/>
      <c r="C114" s="197"/>
      <c r="D114" s="197"/>
      <c r="E114" s="197"/>
      <c r="F114" s="197"/>
      <c r="G114" s="197"/>
      <c r="H114" s="197"/>
      <c r="I114" s="197"/>
      <c r="J114" s="197"/>
      <c r="K114" s="197"/>
      <c r="L114" s="197"/>
      <c r="M114" s="197"/>
      <c r="N114" s="197"/>
      <c r="O114" s="197"/>
    </row>
    <row r="115" spans="2:15" ht="12.75">
      <c r="B115" s="197"/>
      <c r="C115" s="197"/>
      <c r="D115" s="197"/>
      <c r="E115" s="197"/>
      <c r="F115" s="197"/>
      <c r="G115" s="197"/>
      <c r="H115" s="197"/>
      <c r="I115" s="197"/>
      <c r="J115" s="197"/>
      <c r="K115" s="197"/>
      <c r="L115" s="197"/>
      <c r="M115" s="197"/>
      <c r="N115" s="197"/>
      <c r="O115" s="197"/>
    </row>
    <row r="116" spans="2:15" ht="12.75">
      <c r="B116" s="197"/>
      <c r="C116" s="197"/>
      <c r="D116" s="197"/>
      <c r="E116" s="197"/>
      <c r="F116" s="197"/>
      <c r="G116" s="197"/>
      <c r="H116" s="197"/>
      <c r="I116" s="197"/>
      <c r="J116" s="197"/>
      <c r="K116" s="197"/>
      <c r="L116" s="197"/>
      <c r="M116" s="197"/>
      <c r="N116" s="197"/>
      <c r="O116" s="197"/>
    </row>
    <row r="117" spans="2:15" ht="12.75">
      <c r="B117" s="197"/>
      <c r="C117" s="197"/>
      <c r="D117" s="197"/>
      <c r="E117" s="197"/>
      <c r="F117" s="197"/>
      <c r="G117" s="197"/>
      <c r="H117" s="197"/>
      <c r="I117" s="197"/>
      <c r="J117" s="197"/>
      <c r="K117" s="197"/>
      <c r="L117" s="197"/>
      <c r="M117" s="197"/>
      <c r="N117" s="197"/>
      <c r="O117" s="197"/>
    </row>
    <row r="118" spans="2:15" ht="12.75">
      <c r="B118" s="197"/>
      <c r="C118" s="197"/>
      <c r="D118" s="197"/>
      <c r="E118" s="197"/>
      <c r="F118" s="197"/>
      <c r="G118" s="197"/>
      <c r="H118" s="197"/>
      <c r="I118" s="197"/>
      <c r="J118" s="197"/>
      <c r="K118" s="197"/>
      <c r="L118" s="197"/>
      <c r="M118" s="197"/>
      <c r="N118" s="197"/>
      <c r="O118" s="197"/>
    </row>
    <row r="119" spans="2:15" ht="12.75">
      <c r="B119" s="197"/>
      <c r="C119" s="197"/>
      <c r="D119" s="197"/>
      <c r="E119" s="197"/>
      <c r="F119" s="197"/>
      <c r="G119" s="197"/>
      <c r="H119" s="197"/>
      <c r="I119" s="197"/>
      <c r="J119" s="197"/>
      <c r="K119" s="197"/>
      <c r="L119" s="197"/>
      <c r="M119" s="197"/>
      <c r="N119" s="197"/>
      <c r="O119" s="197"/>
    </row>
    <row r="120" spans="2:15" ht="12.75">
      <c r="B120" s="197"/>
      <c r="C120" s="197"/>
      <c r="D120" s="197"/>
      <c r="E120" s="197"/>
      <c r="F120" s="197"/>
      <c r="G120" s="197"/>
      <c r="H120" s="197"/>
      <c r="I120" s="197"/>
      <c r="J120" s="197"/>
      <c r="K120" s="197"/>
      <c r="L120" s="197"/>
      <c r="M120" s="197"/>
      <c r="N120" s="197"/>
      <c r="O120" s="197"/>
    </row>
    <row r="121" spans="2:15" ht="12.75">
      <c r="B121" s="197"/>
      <c r="C121" s="197"/>
      <c r="D121" s="197"/>
      <c r="E121" s="197"/>
      <c r="F121" s="197"/>
      <c r="G121" s="197"/>
      <c r="H121" s="197"/>
      <c r="I121" s="197"/>
      <c r="J121" s="197"/>
      <c r="K121" s="197"/>
      <c r="L121" s="197"/>
      <c r="M121" s="197"/>
      <c r="N121" s="197"/>
      <c r="O121" s="197"/>
    </row>
    <row r="122" spans="2:15" ht="12.75">
      <c r="B122" s="197"/>
      <c r="C122" s="197"/>
      <c r="D122" s="197"/>
      <c r="E122" s="197"/>
      <c r="F122" s="197"/>
      <c r="G122" s="197"/>
      <c r="H122" s="197"/>
      <c r="I122" s="197"/>
      <c r="J122" s="197"/>
      <c r="K122" s="197"/>
      <c r="L122" s="197"/>
      <c r="M122" s="197"/>
      <c r="N122" s="197"/>
      <c r="O122" s="197"/>
    </row>
    <row r="123" spans="2:15" ht="12.75">
      <c r="B123" s="197"/>
      <c r="C123" s="197"/>
      <c r="D123" s="197"/>
      <c r="E123" s="197"/>
      <c r="F123" s="197"/>
      <c r="G123" s="197"/>
      <c r="H123" s="197"/>
      <c r="I123" s="197"/>
      <c r="J123" s="197"/>
      <c r="K123" s="197"/>
      <c r="L123" s="197"/>
      <c r="M123" s="197"/>
      <c r="N123" s="197"/>
      <c r="O123" s="197"/>
    </row>
    <row r="124" spans="2:15" ht="12.75">
      <c r="B124" s="197"/>
      <c r="C124" s="197"/>
      <c r="D124" s="197"/>
      <c r="E124" s="197"/>
      <c r="F124" s="197"/>
      <c r="G124" s="197"/>
      <c r="H124" s="197"/>
      <c r="I124" s="197"/>
      <c r="J124" s="197"/>
      <c r="K124" s="197"/>
      <c r="L124" s="197"/>
      <c r="M124" s="197"/>
      <c r="N124" s="197"/>
      <c r="O124" s="197"/>
    </row>
    <row r="125" spans="2:15" ht="12.75">
      <c r="B125" s="197"/>
      <c r="C125" s="197"/>
      <c r="D125" s="197"/>
      <c r="E125" s="197"/>
      <c r="F125" s="197"/>
      <c r="G125" s="197"/>
      <c r="H125" s="197"/>
      <c r="I125" s="197"/>
      <c r="J125" s="197"/>
      <c r="K125" s="197"/>
      <c r="L125" s="197"/>
      <c r="M125" s="197"/>
      <c r="N125" s="197"/>
      <c r="O125" s="197"/>
    </row>
    <row r="126" spans="2:15" ht="12.75">
      <c r="B126" s="197"/>
      <c r="C126" s="197"/>
      <c r="D126" s="197"/>
      <c r="E126" s="197"/>
      <c r="F126" s="197"/>
      <c r="G126" s="197"/>
      <c r="H126" s="197"/>
      <c r="I126" s="197"/>
      <c r="J126" s="197"/>
      <c r="K126" s="197"/>
      <c r="L126" s="197"/>
      <c r="M126" s="197"/>
      <c r="N126" s="197"/>
      <c r="O126" s="197"/>
    </row>
    <row r="127" spans="2:15" ht="12.75">
      <c r="B127" s="197"/>
      <c r="C127" s="197"/>
      <c r="D127" s="197"/>
      <c r="E127" s="197"/>
      <c r="F127" s="197"/>
      <c r="G127" s="197"/>
      <c r="H127" s="197"/>
      <c r="I127" s="197"/>
      <c r="J127" s="197"/>
      <c r="K127" s="197"/>
      <c r="L127" s="197"/>
      <c r="M127" s="197"/>
      <c r="N127" s="197"/>
      <c r="O127" s="197"/>
    </row>
    <row r="128" spans="2:15" ht="12.75">
      <c r="B128" s="197"/>
      <c r="C128" s="197"/>
      <c r="D128" s="197"/>
      <c r="E128" s="197"/>
      <c r="F128" s="197"/>
      <c r="G128" s="197"/>
      <c r="H128" s="197"/>
      <c r="I128" s="197"/>
      <c r="J128" s="197"/>
      <c r="K128" s="197"/>
      <c r="L128" s="197"/>
      <c r="M128" s="197"/>
      <c r="N128" s="197"/>
      <c r="O128" s="197"/>
    </row>
    <row r="129" spans="2:15" ht="12.75">
      <c r="B129" s="197"/>
      <c r="C129" s="197"/>
      <c r="D129" s="197"/>
      <c r="E129" s="197"/>
      <c r="F129" s="197"/>
      <c r="G129" s="197"/>
      <c r="H129" s="197"/>
      <c r="I129" s="197"/>
      <c r="J129" s="197"/>
      <c r="K129" s="197"/>
      <c r="L129" s="197"/>
      <c r="M129" s="197"/>
      <c r="N129" s="197"/>
      <c r="O129" s="197"/>
    </row>
    <row r="130" spans="2:15" ht="12.75">
      <c r="B130" s="197"/>
      <c r="C130" s="197"/>
      <c r="D130" s="197"/>
      <c r="E130" s="197"/>
      <c r="F130" s="197"/>
      <c r="G130" s="197"/>
      <c r="H130" s="197"/>
      <c r="I130" s="197"/>
      <c r="J130" s="197"/>
      <c r="K130" s="197"/>
      <c r="L130" s="197"/>
      <c r="M130" s="197"/>
      <c r="N130" s="197"/>
      <c r="O130" s="197"/>
    </row>
    <row r="131" spans="2:15" ht="12.75">
      <c r="B131" s="197"/>
      <c r="C131" s="197"/>
      <c r="D131" s="197"/>
      <c r="E131" s="197"/>
      <c r="F131" s="197"/>
      <c r="G131" s="197"/>
      <c r="H131" s="197"/>
      <c r="I131" s="197"/>
      <c r="J131" s="197"/>
      <c r="K131" s="197"/>
      <c r="L131" s="197"/>
      <c r="M131" s="197"/>
      <c r="N131" s="197"/>
      <c r="O131" s="197"/>
    </row>
    <row r="132" spans="2:15" ht="12.75">
      <c r="B132" s="197"/>
      <c r="C132" s="197"/>
      <c r="D132" s="197"/>
      <c r="E132" s="197"/>
      <c r="F132" s="197"/>
      <c r="G132" s="197"/>
      <c r="H132" s="197"/>
      <c r="I132" s="197"/>
      <c r="J132" s="197"/>
      <c r="K132" s="197"/>
      <c r="L132" s="197"/>
      <c r="M132" s="197"/>
      <c r="N132" s="197"/>
      <c r="O132" s="197"/>
    </row>
    <row r="133" spans="2:15" ht="12.75">
      <c r="B133" s="197"/>
      <c r="C133" s="197"/>
      <c r="D133" s="197"/>
      <c r="E133" s="197"/>
      <c r="F133" s="197"/>
      <c r="G133" s="197"/>
      <c r="H133" s="197"/>
      <c r="I133" s="197"/>
      <c r="J133" s="197"/>
      <c r="K133" s="197"/>
      <c r="L133" s="197"/>
      <c r="M133" s="197"/>
      <c r="N133" s="197"/>
      <c r="O133" s="197"/>
    </row>
    <row r="134" spans="2:15" ht="12.75">
      <c r="B134" s="197"/>
      <c r="C134" s="197"/>
      <c r="D134" s="197"/>
      <c r="E134" s="197"/>
      <c r="F134" s="197"/>
      <c r="G134" s="197"/>
      <c r="H134" s="197"/>
      <c r="I134" s="197"/>
      <c r="J134" s="197"/>
      <c r="K134" s="197"/>
      <c r="L134" s="197"/>
      <c r="M134" s="197"/>
      <c r="N134" s="197"/>
      <c r="O134" s="197"/>
    </row>
    <row r="135" spans="2:15" ht="12.75">
      <c r="B135" s="197"/>
      <c r="C135" s="197"/>
      <c r="D135" s="197"/>
      <c r="E135" s="197"/>
      <c r="F135" s="197"/>
      <c r="G135" s="197"/>
      <c r="H135" s="197"/>
      <c r="I135" s="197"/>
      <c r="J135" s="197"/>
      <c r="K135" s="197"/>
      <c r="L135" s="197"/>
      <c r="M135" s="197"/>
      <c r="N135" s="197"/>
      <c r="O135" s="197"/>
    </row>
    <row r="136" spans="2:15" ht="12.75">
      <c r="B136" s="197"/>
      <c r="C136" s="197"/>
      <c r="D136" s="197"/>
      <c r="E136" s="197"/>
      <c r="F136" s="197"/>
      <c r="G136" s="197"/>
      <c r="H136" s="197"/>
      <c r="I136" s="197"/>
      <c r="J136" s="197"/>
      <c r="K136" s="197"/>
      <c r="L136" s="197"/>
      <c r="M136" s="197"/>
      <c r="N136" s="197"/>
      <c r="O136" s="197"/>
    </row>
    <row r="137" spans="2:15" ht="12.75">
      <c r="B137" s="197"/>
      <c r="C137" s="197"/>
      <c r="D137" s="197"/>
      <c r="E137" s="197"/>
      <c r="F137" s="197"/>
      <c r="G137" s="197"/>
      <c r="H137" s="197"/>
      <c r="I137" s="197"/>
      <c r="J137" s="197"/>
      <c r="K137" s="197"/>
      <c r="L137" s="197"/>
      <c r="M137" s="197"/>
      <c r="N137" s="197"/>
      <c r="O137" s="197"/>
    </row>
    <row r="138" spans="2:15" ht="12.75">
      <c r="B138" s="197"/>
      <c r="C138" s="197"/>
      <c r="D138" s="197"/>
      <c r="E138" s="197"/>
      <c r="F138" s="197"/>
      <c r="G138" s="197"/>
      <c r="H138" s="197"/>
      <c r="I138" s="197"/>
      <c r="J138" s="197"/>
      <c r="K138" s="197"/>
      <c r="L138" s="197"/>
      <c r="M138" s="197"/>
      <c r="N138" s="197"/>
      <c r="O138" s="197"/>
    </row>
    <row r="139" spans="2:15" ht="12.75">
      <c r="B139" s="197"/>
      <c r="C139" s="197"/>
      <c r="D139" s="197"/>
      <c r="E139" s="197"/>
      <c r="F139" s="197"/>
      <c r="G139" s="197"/>
      <c r="H139" s="197"/>
      <c r="I139" s="197"/>
      <c r="J139" s="197"/>
      <c r="K139" s="197"/>
      <c r="L139" s="197"/>
      <c r="M139" s="197"/>
      <c r="N139" s="197"/>
      <c r="O139" s="197"/>
    </row>
    <row r="140" spans="2:15" ht="12.75">
      <c r="B140" s="197"/>
      <c r="C140" s="197"/>
      <c r="D140" s="197"/>
      <c r="E140" s="197"/>
      <c r="F140" s="197"/>
      <c r="G140" s="197"/>
      <c r="H140" s="197"/>
      <c r="I140" s="197"/>
      <c r="J140" s="197"/>
      <c r="K140" s="197"/>
      <c r="L140" s="197"/>
      <c r="M140" s="197"/>
      <c r="N140" s="197"/>
      <c r="O140" s="197"/>
    </row>
    <row r="141" spans="2:15" ht="12.75">
      <c r="B141" s="197"/>
      <c r="C141" s="197"/>
      <c r="D141" s="197"/>
      <c r="E141" s="197"/>
      <c r="F141" s="197"/>
      <c r="G141" s="197"/>
      <c r="H141" s="197"/>
      <c r="I141" s="197"/>
      <c r="J141" s="197"/>
      <c r="K141" s="197"/>
      <c r="L141" s="197"/>
      <c r="M141" s="197"/>
      <c r="N141" s="197"/>
      <c r="O141" s="197"/>
    </row>
    <row r="142" spans="2:15" ht="12.75">
      <c r="B142" s="197"/>
      <c r="C142" s="197"/>
      <c r="D142" s="197"/>
      <c r="E142" s="197"/>
      <c r="F142" s="197"/>
      <c r="G142" s="197"/>
      <c r="H142" s="197"/>
      <c r="I142" s="197"/>
      <c r="J142" s="197"/>
      <c r="K142" s="197"/>
      <c r="L142" s="197"/>
      <c r="M142" s="197"/>
      <c r="N142" s="197"/>
      <c r="O142" s="197"/>
    </row>
    <row r="143" spans="2:15" ht="12.75">
      <c r="B143" s="197"/>
      <c r="C143" s="197"/>
      <c r="D143" s="197"/>
      <c r="E143" s="197"/>
      <c r="F143" s="197"/>
      <c r="G143" s="197"/>
      <c r="H143" s="197"/>
      <c r="I143" s="197"/>
      <c r="J143" s="197"/>
      <c r="K143" s="197"/>
      <c r="L143" s="197"/>
      <c r="M143" s="197"/>
      <c r="N143" s="197"/>
      <c r="O143" s="197"/>
    </row>
    <row r="144" spans="2:15" ht="12.75">
      <c r="B144" s="197"/>
      <c r="C144" s="197"/>
      <c r="D144" s="197"/>
      <c r="E144" s="197"/>
      <c r="F144" s="197"/>
      <c r="G144" s="197"/>
      <c r="H144" s="197"/>
      <c r="I144" s="197"/>
      <c r="J144" s="197"/>
      <c r="K144" s="197"/>
      <c r="L144" s="197"/>
      <c r="M144" s="197"/>
      <c r="N144" s="197"/>
      <c r="O144" s="197"/>
    </row>
    <row r="145" spans="2:15" ht="12.75">
      <c r="B145" s="197"/>
      <c r="C145" s="197"/>
      <c r="D145" s="197"/>
      <c r="E145" s="197"/>
      <c r="F145" s="197"/>
      <c r="G145" s="197"/>
      <c r="H145" s="197"/>
      <c r="I145" s="197"/>
      <c r="J145" s="197"/>
      <c r="K145" s="197"/>
      <c r="L145" s="197"/>
      <c r="M145" s="197"/>
      <c r="N145" s="197"/>
      <c r="O145" s="197"/>
    </row>
    <row r="146" spans="2:15" ht="12.75">
      <c r="B146" s="197"/>
      <c r="C146" s="197"/>
      <c r="D146" s="197"/>
      <c r="E146" s="197"/>
      <c r="F146" s="197"/>
      <c r="G146" s="197"/>
      <c r="H146" s="197"/>
      <c r="I146" s="197"/>
      <c r="J146" s="197"/>
      <c r="K146" s="197"/>
      <c r="L146" s="197"/>
      <c r="M146" s="197"/>
      <c r="N146" s="197"/>
      <c r="O146" s="197"/>
    </row>
    <row r="147" spans="2:15" ht="12.75">
      <c r="B147" s="197"/>
      <c r="C147" s="197"/>
      <c r="D147" s="197"/>
      <c r="E147" s="197"/>
      <c r="F147" s="197"/>
      <c r="G147" s="197"/>
      <c r="H147" s="197"/>
      <c r="I147" s="197"/>
      <c r="J147" s="197"/>
      <c r="K147" s="197"/>
      <c r="L147" s="197"/>
      <c r="M147" s="197"/>
      <c r="N147" s="197"/>
      <c r="O147" s="197"/>
    </row>
    <row r="148" spans="2:15" ht="12.75">
      <c r="B148" s="197"/>
      <c r="C148" s="197"/>
      <c r="D148" s="197"/>
      <c r="E148" s="197"/>
      <c r="F148" s="197"/>
      <c r="G148" s="197"/>
      <c r="H148" s="197"/>
      <c r="I148" s="197"/>
      <c r="J148" s="197"/>
      <c r="K148" s="197"/>
      <c r="L148" s="197"/>
      <c r="M148" s="197"/>
      <c r="N148" s="197"/>
      <c r="O148" s="197"/>
    </row>
    <row r="149" spans="2:15" ht="12.75">
      <c r="B149" s="197"/>
      <c r="C149" s="197"/>
      <c r="D149" s="197"/>
      <c r="E149" s="197"/>
      <c r="F149" s="197"/>
      <c r="G149" s="197"/>
      <c r="H149" s="197"/>
      <c r="I149" s="197"/>
      <c r="J149" s="197"/>
      <c r="K149" s="197"/>
      <c r="L149" s="197"/>
      <c r="M149" s="197"/>
      <c r="N149" s="197"/>
      <c r="O149" s="197"/>
    </row>
    <row r="150" spans="2:15" ht="12.75">
      <c r="B150" s="197"/>
      <c r="C150" s="197"/>
      <c r="D150" s="197"/>
      <c r="E150" s="197"/>
      <c r="F150" s="197"/>
      <c r="G150" s="197"/>
      <c r="H150" s="197"/>
      <c r="I150" s="197"/>
      <c r="J150" s="197"/>
      <c r="K150" s="197"/>
      <c r="L150" s="197"/>
      <c r="M150" s="197"/>
      <c r="N150" s="197"/>
      <c r="O150" s="197"/>
    </row>
    <row r="151" spans="2:15" ht="12.75">
      <c r="B151" s="197"/>
      <c r="C151" s="197"/>
      <c r="D151" s="197"/>
      <c r="E151" s="197"/>
      <c r="F151" s="197"/>
      <c r="G151" s="197"/>
      <c r="H151" s="197"/>
      <c r="I151" s="197"/>
      <c r="J151" s="197"/>
      <c r="K151" s="197"/>
      <c r="L151" s="197"/>
      <c r="M151" s="197"/>
      <c r="N151" s="197"/>
      <c r="O151" s="197"/>
    </row>
    <row r="152" spans="2:15" ht="12.75">
      <c r="B152" s="197"/>
      <c r="C152" s="197"/>
      <c r="D152" s="197"/>
      <c r="E152" s="197"/>
      <c r="F152" s="197"/>
      <c r="G152" s="197"/>
      <c r="H152" s="197"/>
      <c r="I152" s="197"/>
      <c r="J152" s="197"/>
      <c r="K152" s="197"/>
      <c r="L152" s="197"/>
      <c r="M152" s="197"/>
      <c r="N152" s="197"/>
      <c r="O152" s="197"/>
    </row>
    <row r="153" spans="2:15" ht="12.75">
      <c r="B153" s="197"/>
      <c r="C153" s="197"/>
      <c r="D153" s="197"/>
      <c r="E153" s="197"/>
      <c r="F153" s="197"/>
      <c r="G153" s="197"/>
      <c r="H153" s="197"/>
      <c r="I153" s="197"/>
      <c r="J153" s="197"/>
      <c r="K153" s="197"/>
      <c r="L153" s="197"/>
      <c r="M153" s="197"/>
      <c r="N153" s="197"/>
      <c r="O153" s="197"/>
    </row>
    <row r="154" spans="2:15" ht="12.75">
      <c r="B154" s="197"/>
      <c r="C154" s="197"/>
      <c r="D154" s="197"/>
      <c r="E154" s="197"/>
      <c r="F154" s="197"/>
      <c r="G154" s="197"/>
      <c r="H154" s="197"/>
      <c r="I154" s="197"/>
      <c r="J154" s="197"/>
      <c r="K154" s="197"/>
      <c r="L154" s="197"/>
      <c r="M154" s="197"/>
      <c r="N154" s="197"/>
      <c r="O154" s="197"/>
    </row>
    <row r="155" spans="2:15" ht="12.75">
      <c r="B155" s="197"/>
      <c r="C155" s="197"/>
      <c r="D155" s="197"/>
      <c r="E155" s="197"/>
      <c r="F155" s="197"/>
      <c r="G155" s="197"/>
      <c r="H155" s="197"/>
      <c r="I155" s="197"/>
      <c r="J155" s="197"/>
      <c r="K155" s="197"/>
      <c r="L155" s="197"/>
      <c r="M155" s="197"/>
      <c r="N155" s="197"/>
      <c r="O155" s="197"/>
    </row>
    <row r="156" spans="2:15" ht="12.75">
      <c r="B156" s="197"/>
      <c r="C156" s="197"/>
      <c r="D156" s="197"/>
      <c r="E156" s="197"/>
      <c r="F156" s="197"/>
      <c r="G156" s="197"/>
      <c r="H156" s="197"/>
      <c r="I156" s="197"/>
      <c r="J156" s="197"/>
      <c r="K156" s="197"/>
      <c r="L156" s="197"/>
      <c r="M156" s="197"/>
      <c r="N156" s="197"/>
      <c r="O156" s="197"/>
    </row>
    <row r="157" spans="2:15" ht="12.75">
      <c r="B157" s="197"/>
      <c r="C157" s="197"/>
      <c r="D157" s="197"/>
      <c r="E157" s="197"/>
      <c r="F157" s="197"/>
      <c r="G157" s="197"/>
      <c r="H157" s="197"/>
      <c r="I157" s="197"/>
      <c r="J157" s="197"/>
      <c r="K157" s="197"/>
      <c r="L157" s="197"/>
      <c r="M157" s="197"/>
      <c r="N157" s="197"/>
      <c r="O157" s="197"/>
    </row>
    <row r="158" spans="2:15" ht="12.75">
      <c r="B158" s="197"/>
      <c r="C158" s="197"/>
      <c r="D158" s="197"/>
      <c r="E158" s="197"/>
      <c r="F158" s="197"/>
      <c r="G158" s="197"/>
      <c r="H158" s="197"/>
      <c r="I158" s="197"/>
      <c r="J158" s="197"/>
      <c r="K158" s="197"/>
      <c r="L158" s="197"/>
      <c r="M158" s="197"/>
      <c r="N158" s="197"/>
      <c r="O158" s="197"/>
    </row>
    <row r="159" spans="2:15" ht="12.75">
      <c r="B159" s="197"/>
      <c r="C159" s="197"/>
      <c r="D159" s="197"/>
      <c r="E159" s="197"/>
      <c r="F159" s="197"/>
      <c r="G159" s="197"/>
      <c r="H159" s="197"/>
      <c r="I159" s="197"/>
      <c r="J159" s="197"/>
      <c r="K159" s="197"/>
      <c r="L159" s="197"/>
      <c r="M159" s="197"/>
      <c r="N159" s="197"/>
      <c r="O159" s="197"/>
    </row>
    <row r="160" spans="2:15" ht="12.75">
      <c r="B160" s="197"/>
      <c r="C160" s="197"/>
      <c r="D160" s="197"/>
      <c r="E160" s="197"/>
      <c r="F160" s="197"/>
      <c r="G160" s="197"/>
      <c r="H160" s="197"/>
      <c r="I160" s="197"/>
      <c r="J160" s="197"/>
      <c r="K160" s="197"/>
      <c r="L160" s="197"/>
      <c r="M160" s="197"/>
      <c r="N160" s="197"/>
      <c r="O160" s="197"/>
    </row>
    <row r="161" spans="2:15" ht="12.75">
      <c r="B161" s="197"/>
      <c r="C161" s="197"/>
      <c r="D161" s="197"/>
      <c r="E161" s="197"/>
      <c r="F161" s="197"/>
      <c r="G161" s="197"/>
      <c r="H161" s="197"/>
      <c r="I161" s="197"/>
      <c r="J161" s="197"/>
      <c r="K161" s="197"/>
      <c r="L161" s="197"/>
      <c r="M161" s="197"/>
      <c r="N161" s="197"/>
      <c r="O161" s="197"/>
    </row>
    <row r="162" spans="2:15" ht="12.75">
      <c r="B162" s="197"/>
      <c r="C162" s="197"/>
      <c r="D162" s="197"/>
      <c r="E162" s="197"/>
      <c r="F162" s="197"/>
      <c r="G162" s="197"/>
      <c r="H162" s="197"/>
      <c r="I162" s="197"/>
      <c r="J162" s="197"/>
      <c r="K162" s="197"/>
      <c r="L162" s="197"/>
      <c r="M162" s="197"/>
      <c r="N162" s="197"/>
      <c r="O162" s="197"/>
    </row>
    <row r="163" spans="2:15" ht="12.75">
      <c r="B163" s="197"/>
      <c r="C163" s="197"/>
      <c r="D163" s="197"/>
      <c r="E163" s="197"/>
      <c r="F163" s="197"/>
      <c r="G163" s="197"/>
      <c r="H163" s="197"/>
      <c r="I163" s="197"/>
      <c r="J163" s="197"/>
      <c r="K163" s="197"/>
      <c r="L163" s="197"/>
      <c r="M163" s="197"/>
      <c r="N163" s="197"/>
      <c r="O163" s="197"/>
    </row>
    <row r="164" spans="2:15" ht="12.75">
      <c r="B164" s="197"/>
      <c r="C164" s="197"/>
      <c r="D164" s="197"/>
      <c r="E164" s="197"/>
      <c r="F164" s="197"/>
      <c r="G164" s="197"/>
      <c r="H164" s="197"/>
      <c r="I164" s="197"/>
      <c r="J164" s="197"/>
      <c r="K164" s="197"/>
      <c r="L164" s="197"/>
      <c r="M164" s="197"/>
      <c r="N164" s="197"/>
      <c r="O164" s="197"/>
    </row>
    <row r="165" spans="2:15" ht="12.75">
      <c r="B165" s="197"/>
      <c r="C165" s="197"/>
      <c r="D165" s="197"/>
      <c r="E165" s="197"/>
      <c r="F165" s="197"/>
      <c r="G165" s="197"/>
      <c r="H165" s="197"/>
      <c r="I165" s="197"/>
      <c r="J165" s="197"/>
      <c r="K165" s="197"/>
      <c r="L165" s="197"/>
      <c r="M165" s="197"/>
      <c r="N165" s="197"/>
      <c r="O165" s="197"/>
    </row>
    <row r="166" spans="2:15" ht="12.75">
      <c r="B166" s="197"/>
      <c r="C166" s="197"/>
      <c r="D166" s="197"/>
      <c r="E166" s="197"/>
      <c r="F166" s="197"/>
      <c r="G166" s="197"/>
      <c r="H166" s="197"/>
      <c r="I166" s="197"/>
      <c r="J166" s="197"/>
      <c r="K166" s="197"/>
      <c r="L166" s="197"/>
      <c r="M166" s="197"/>
      <c r="N166" s="197"/>
      <c r="O166" s="197"/>
    </row>
    <row r="167" spans="2:15" ht="12.75">
      <c r="B167" s="197"/>
      <c r="C167" s="197"/>
      <c r="D167" s="197"/>
      <c r="E167" s="197"/>
      <c r="F167" s="197"/>
      <c r="G167" s="197"/>
      <c r="H167" s="197"/>
      <c r="I167" s="197"/>
      <c r="J167" s="197"/>
      <c r="K167" s="197"/>
      <c r="L167" s="197"/>
      <c r="M167" s="197"/>
      <c r="N167" s="197"/>
      <c r="O167" s="197"/>
    </row>
    <row r="168" spans="2:15" ht="12.75">
      <c r="B168" s="197"/>
      <c r="C168" s="197"/>
      <c r="D168" s="197"/>
      <c r="E168" s="197"/>
      <c r="F168" s="197"/>
      <c r="G168" s="197"/>
      <c r="H168" s="197"/>
      <c r="I168" s="197"/>
      <c r="J168" s="197"/>
      <c r="K168" s="197"/>
      <c r="L168" s="197"/>
      <c r="M168" s="197"/>
      <c r="N168" s="197"/>
      <c r="O168" s="197"/>
    </row>
    <row r="169" spans="2:15" ht="12.75">
      <c r="B169" s="197"/>
      <c r="C169" s="197"/>
      <c r="D169" s="197"/>
      <c r="E169" s="197"/>
      <c r="F169" s="197"/>
      <c r="G169" s="197"/>
      <c r="H169" s="197"/>
      <c r="I169" s="197"/>
      <c r="J169" s="197"/>
      <c r="K169" s="197"/>
      <c r="L169" s="197"/>
      <c r="M169" s="197"/>
      <c r="N169" s="197"/>
      <c r="O169" s="197"/>
    </row>
    <row r="170" spans="2:15" ht="12.75">
      <c r="B170" s="197"/>
      <c r="C170" s="197"/>
      <c r="D170" s="197"/>
      <c r="E170" s="197"/>
      <c r="F170" s="197"/>
      <c r="G170" s="197"/>
      <c r="H170" s="197"/>
      <c r="I170" s="197"/>
      <c r="J170" s="197"/>
      <c r="K170" s="197"/>
      <c r="L170" s="197"/>
      <c r="M170" s="197"/>
      <c r="N170" s="197"/>
      <c r="O170" s="197"/>
    </row>
    <row r="171" spans="2:15" ht="12.75">
      <c r="B171" s="197"/>
      <c r="C171" s="197"/>
      <c r="D171" s="197"/>
      <c r="E171" s="197"/>
      <c r="F171" s="197"/>
      <c r="G171" s="197"/>
      <c r="H171" s="197"/>
      <c r="I171" s="197"/>
      <c r="J171" s="197"/>
      <c r="K171" s="197"/>
      <c r="L171" s="197"/>
      <c r="M171" s="197"/>
      <c r="N171" s="197"/>
      <c r="O171" s="197"/>
    </row>
    <row r="172" spans="2:15" ht="12.75">
      <c r="B172" s="197"/>
      <c r="C172" s="197"/>
      <c r="D172" s="197"/>
      <c r="E172" s="197"/>
      <c r="F172" s="197"/>
      <c r="G172" s="197"/>
      <c r="H172" s="197"/>
      <c r="I172" s="197"/>
      <c r="J172" s="197"/>
      <c r="K172" s="197"/>
      <c r="L172" s="197"/>
      <c r="M172" s="197"/>
      <c r="N172" s="197"/>
      <c r="O172" s="197"/>
    </row>
    <row r="173" spans="2:15" ht="12.75">
      <c r="B173" s="197"/>
      <c r="C173" s="197"/>
      <c r="D173" s="197"/>
      <c r="E173" s="197"/>
      <c r="F173" s="197"/>
      <c r="G173" s="197"/>
      <c r="H173" s="197"/>
      <c r="I173" s="197"/>
      <c r="J173" s="197"/>
      <c r="K173" s="197"/>
      <c r="L173" s="197"/>
      <c r="M173" s="197"/>
      <c r="N173" s="197"/>
      <c r="O173" s="197"/>
    </row>
    <row r="174" spans="2:15" ht="12.75">
      <c r="B174" s="197"/>
      <c r="C174" s="197"/>
      <c r="D174" s="197"/>
      <c r="E174" s="197"/>
      <c r="F174" s="197"/>
      <c r="G174" s="197"/>
      <c r="H174" s="197"/>
      <c r="I174" s="197"/>
      <c r="J174" s="197"/>
      <c r="K174" s="197"/>
      <c r="L174" s="197"/>
      <c r="M174" s="197"/>
      <c r="N174" s="197"/>
      <c r="O174" s="197"/>
    </row>
    <row r="175" spans="2:15" ht="12.75">
      <c r="B175" s="197"/>
      <c r="C175" s="197"/>
      <c r="D175" s="197"/>
      <c r="E175" s="197"/>
      <c r="F175" s="197"/>
      <c r="G175" s="197"/>
      <c r="H175" s="197"/>
      <c r="I175" s="197"/>
      <c r="J175" s="197"/>
      <c r="K175" s="197"/>
      <c r="L175" s="197"/>
      <c r="M175" s="197"/>
      <c r="N175" s="197"/>
      <c r="O175" s="197"/>
    </row>
    <row r="176" spans="2:15" ht="12.75">
      <c r="B176" s="197"/>
      <c r="C176" s="197"/>
      <c r="D176" s="197"/>
      <c r="E176" s="197"/>
      <c r="F176" s="197"/>
      <c r="G176" s="197"/>
      <c r="H176" s="197"/>
      <c r="I176" s="197"/>
      <c r="J176" s="197"/>
      <c r="K176" s="197"/>
      <c r="L176" s="197"/>
      <c r="M176" s="197"/>
      <c r="N176" s="197"/>
      <c r="O176" s="197"/>
    </row>
    <row r="177" spans="2:15" ht="12.75">
      <c r="B177" s="197"/>
      <c r="C177" s="197"/>
      <c r="D177" s="197"/>
      <c r="E177" s="197"/>
      <c r="F177" s="197"/>
      <c r="G177" s="197"/>
      <c r="H177" s="197"/>
      <c r="I177" s="197"/>
      <c r="J177" s="197"/>
      <c r="K177" s="197"/>
      <c r="L177" s="197"/>
      <c r="M177" s="197"/>
      <c r="N177" s="197"/>
      <c r="O177" s="197"/>
    </row>
    <row r="178" spans="2:15" ht="12.75">
      <c r="B178" s="197"/>
      <c r="C178" s="197"/>
      <c r="D178" s="197"/>
      <c r="E178" s="197"/>
      <c r="F178" s="197"/>
      <c r="G178" s="197"/>
      <c r="H178" s="197"/>
      <c r="I178" s="197"/>
      <c r="J178" s="197"/>
      <c r="K178" s="197"/>
      <c r="L178" s="197"/>
      <c r="M178" s="197"/>
      <c r="N178" s="197"/>
      <c r="O178" s="197"/>
    </row>
    <row r="179" spans="2:15" ht="12.75">
      <c r="B179" s="197"/>
      <c r="C179" s="197"/>
      <c r="D179" s="197"/>
      <c r="E179" s="197"/>
      <c r="F179" s="197"/>
      <c r="G179" s="197"/>
      <c r="H179" s="197"/>
      <c r="I179" s="197"/>
      <c r="J179" s="197"/>
      <c r="K179" s="197"/>
      <c r="L179" s="197"/>
      <c r="M179" s="197"/>
      <c r="N179" s="197"/>
      <c r="O179" s="197"/>
    </row>
    <row r="180" spans="2:15" ht="12.75">
      <c r="B180" s="197"/>
      <c r="C180" s="197"/>
      <c r="D180" s="197"/>
      <c r="E180" s="197"/>
      <c r="F180" s="197"/>
      <c r="G180" s="197"/>
      <c r="H180" s="197"/>
      <c r="I180" s="197"/>
      <c r="J180" s="197"/>
      <c r="K180" s="197"/>
      <c r="L180" s="197"/>
      <c r="M180" s="197"/>
      <c r="N180" s="197"/>
      <c r="O180" s="197"/>
    </row>
    <row r="181" spans="2:15" ht="12.75">
      <c r="B181" s="197"/>
      <c r="C181" s="197"/>
      <c r="D181" s="197"/>
      <c r="E181" s="197"/>
      <c r="F181" s="197"/>
      <c r="G181" s="197"/>
      <c r="H181" s="197"/>
      <c r="I181" s="197"/>
      <c r="J181" s="197"/>
      <c r="K181" s="197"/>
      <c r="L181" s="197"/>
      <c r="M181" s="197"/>
      <c r="N181" s="197"/>
      <c r="O181" s="197"/>
    </row>
    <row r="182" spans="2:15" ht="12.75">
      <c r="B182" s="197"/>
      <c r="C182" s="197"/>
      <c r="D182" s="197"/>
      <c r="E182" s="197"/>
      <c r="F182" s="197"/>
      <c r="G182" s="197"/>
      <c r="H182" s="197"/>
      <c r="I182" s="197"/>
      <c r="J182" s="197"/>
      <c r="K182" s="197"/>
      <c r="L182" s="197"/>
      <c r="M182" s="197"/>
      <c r="N182" s="197"/>
      <c r="O182" s="197"/>
    </row>
    <row r="183" spans="2:15" ht="12.75">
      <c r="B183" s="197"/>
      <c r="C183" s="197"/>
      <c r="D183" s="197"/>
      <c r="E183" s="197"/>
      <c r="F183" s="197"/>
      <c r="G183" s="197"/>
      <c r="H183" s="197"/>
      <c r="I183" s="197"/>
      <c r="J183" s="197"/>
      <c r="K183" s="197"/>
      <c r="L183" s="197"/>
      <c r="M183" s="197"/>
      <c r="N183" s="197"/>
      <c r="O183" s="197"/>
    </row>
    <row r="184" spans="2:15" ht="12.75">
      <c r="B184" s="197"/>
      <c r="C184" s="197"/>
      <c r="D184" s="197"/>
      <c r="E184" s="197"/>
      <c r="F184" s="197"/>
      <c r="G184" s="197"/>
      <c r="H184" s="197"/>
      <c r="I184" s="197"/>
      <c r="J184" s="197"/>
      <c r="K184" s="197"/>
      <c r="L184" s="197"/>
      <c r="M184" s="197"/>
      <c r="N184" s="197"/>
      <c r="O184" s="197"/>
    </row>
    <row r="185" spans="2:15" ht="12.75">
      <c r="B185" s="197"/>
      <c r="C185" s="197"/>
      <c r="D185" s="197"/>
      <c r="E185" s="197"/>
      <c r="F185" s="197"/>
      <c r="G185" s="197"/>
      <c r="H185" s="197"/>
      <c r="I185" s="197"/>
      <c r="J185" s="197"/>
      <c r="K185" s="197"/>
      <c r="L185" s="197"/>
      <c r="M185" s="197"/>
      <c r="N185" s="197"/>
      <c r="O185" s="197"/>
    </row>
    <row r="186" spans="2:15" ht="12.75">
      <c r="B186" s="197"/>
      <c r="C186" s="197"/>
      <c r="D186" s="197"/>
      <c r="E186" s="197"/>
      <c r="F186" s="197"/>
      <c r="G186" s="197"/>
      <c r="H186" s="197"/>
      <c r="I186" s="197"/>
      <c r="J186" s="197"/>
      <c r="K186" s="197"/>
      <c r="L186" s="197"/>
      <c r="M186" s="197"/>
      <c r="N186" s="197"/>
      <c r="O186" s="197"/>
    </row>
    <row r="187" spans="2:15" ht="12.75">
      <c r="B187" s="197"/>
      <c r="C187" s="197"/>
      <c r="D187" s="197"/>
      <c r="E187" s="197"/>
      <c r="F187" s="197"/>
      <c r="G187" s="197"/>
      <c r="H187" s="197"/>
      <c r="I187" s="197"/>
      <c r="J187" s="197"/>
      <c r="K187" s="197"/>
      <c r="L187" s="197"/>
      <c r="M187" s="197"/>
      <c r="N187" s="197"/>
      <c r="O187" s="197"/>
    </row>
    <row r="188" spans="2:15" ht="12.75">
      <c r="B188" s="197"/>
      <c r="C188" s="197"/>
      <c r="D188" s="197"/>
      <c r="E188" s="197"/>
      <c r="F188" s="197"/>
      <c r="G188" s="197"/>
      <c r="H188" s="197"/>
      <c r="I188" s="197"/>
      <c r="J188" s="197"/>
      <c r="K188" s="197"/>
      <c r="L188" s="197"/>
      <c r="M188" s="197"/>
      <c r="N188" s="197"/>
      <c r="O188" s="197"/>
    </row>
    <row r="189" spans="2:15" ht="12.75">
      <c r="B189" s="197"/>
      <c r="C189" s="197"/>
      <c r="D189" s="197"/>
      <c r="E189" s="197"/>
      <c r="F189" s="197"/>
      <c r="G189" s="197"/>
      <c r="H189" s="197"/>
      <c r="I189" s="197"/>
      <c r="J189" s="197"/>
      <c r="K189" s="197"/>
      <c r="L189" s="197"/>
      <c r="M189" s="197"/>
      <c r="N189" s="197"/>
      <c r="O189" s="197"/>
    </row>
    <row r="190" spans="2:15" ht="12.75">
      <c r="B190" s="197"/>
      <c r="C190" s="197"/>
      <c r="D190" s="197"/>
      <c r="E190" s="197"/>
      <c r="F190" s="197"/>
      <c r="G190" s="197"/>
      <c r="H190" s="197"/>
      <c r="I190" s="197"/>
      <c r="J190" s="197"/>
      <c r="K190" s="197"/>
      <c r="L190" s="197"/>
      <c r="M190" s="197"/>
      <c r="N190" s="197"/>
      <c r="O190" s="197"/>
    </row>
    <row r="191" spans="2:15" ht="12.75">
      <c r="B191" s="197"/>
      <c r="C191" s="197"/>
      <c r="D191" s="197"/>
      <c r="E191" s="197"/>
      <c r="F191" s="197"/>
      <c r="G191" s="197"/>
      <c r="H191" s="197"/>
      <c r="I191" s="197"/>
      <c r="J191" s="197"/>
      <c r="K191" s="197"/>
      <c r="L191" s="197"/>
      <c r="M191" s="197"/>
      <c r="N191" s="197"/>
      <c r="O191" s="197"/>
    </row>
    <row r="192" spans="2:15" ht="12.75">
      <c r="B192" s="197"/>
      <c r="C192" s="197"/>
      <c r="D192" s="197"/>
      <c r="E192" s="197"/>
      <c r="F192" s="197"/>
      <c r="G192" s="197"/>
      <c r="H192" s="197"/>
      <c r="I192" s="197"/>
      <c r="J192" s="197"/>
      <c r="K192" s="197"/>
      <c r="L192" s="197"/>
      <c r="M192" s="197"/>
      <c r="N192" s="197"/>
      <c r="O192" s="197"/>
    </row>
    <row r="193" spans="2:15" ht="12.75">
      <c r="B193" s="197"/>
      <c r="C193" s="197"/>
      <c r="D193" s="197"/>
      <c r="E193" s="197"/>
      <c r="F193" s="197"/>
      <c r="G193" s="197"/>
      <c r="H193" s="197"/>
      <c r="I193" s="197"/>
      <c r="J193" s="197"/>
      <c r="K193" s="197"/>
      <c r="L193" s="197"/>
      <c r="M193" s="197"/>
      <c r="N193" s="197"/>
      <c r="O193" s="197"/>
    </row>
    <row r="194" spans="2:15" ht="12.75">
      <c r="B194" s="197"/>
      <c r="C194" s="197"/>
      <c r="D194" s="197"/>
      <c r="E194" s="197"/>
      <c r="F194" s="197"/>
      <c r="G194" s="197"/>
      <c r="H194" s="197"/>
      <c r="I194" s="197"/>
      <c r="J194" s="197"/>
      <c r="K194" s="197"/>
      <c r="L194" s="197"/>
      <c r="M194" s="197"/>
      <c r="N194" s="197"/>
      <c r="O194" s="197"/>
    </row>
    <row r="195" spans="2:15" ht="12.75">
      <c r="B195" s="197"/>
      <c r="C195" s="197"/>
      <c r="D195" s="197"/>
      <c r="E195" s="197"/>
      <c r="F195" s="197"/>
      <c r="G195" s="197"/>
      <c r="H195" s="197"/>
      <c r="I195" s="197"/>
      <c r="J195" s="197"/>
      <c r="K195" s="197"/>
      <c r="L195" s="197"/>
      <c r="M195" s="197"/>
      <c r="N195" s="197"/>
      <c r="O195" s="197"/>
    </row>
    <row r="196" spans="2:15" ht="12.75">
      <c r="B196" s="197"/>
      <c r="C196" s="197"/>
      <c r="D196" s="197"/>
      <c r="E196" s="197"/>
      <c r="F196" s="197"/>
      <c r="G196" s="197"/>
      <c r="H196" s="197"/>
      <c r="I196" s="197"/>
      <c r="J196" s="197"/>
      <c r="K196" s="197"/>
      <c r="L196" s="197"/>
      <c r="M196" s="197"/>
      <c r="N196" s="197"/>
      <c r="O196" s="197"/>
    </row>
    <row r="197" spans="2:15" ht="12.75">
      <c r="B197" s="197"/>
      <c r="C197" s="197"/>
      <c r="D197" s="197"/>
      <c r="E197" s="197"/>
      <c r="F197" s="197"/>
      <c r="G197" s="197"/>
      <c r="H197" s="197"/>
      <c r="I197" s="197"/>
      <c r="J197" s="197"/>
      <c r="K197" s="197"/>
      <c r="L197" s="197"/>
      <c r="M197" s="197"/>
      <c r="N197" s="197"/>
      <c r="O197" s="197"/>
    </row>
    <row r="198" spans="2:15" ht="12.75">
      <c r="B198" s="197"/>
      <c r="C198" s="197"/>
      <c r="D198" s="197"/>
      <c r="E198" s="197"/>
      <c r="F198" s="197"/>
      <c r="G198" s="197"/>
      <c r="H198" s="197"/>
      <c r="I198" s="197"/>
      <c r="J198" s="197"/>
      <c r="K198" s="197"/>
      <c r="L198" s="197"/>
      <c r="M198" s="197"/>
      <c r="N198" s="197"/>
      <c r="O198" s="197"/>
    </row>
    <row r="199" spans="2:15" ht="12.75">
      <c r="B199" s="197"/>
      <c r="C199" s="197"/>
      <c r="D199" s="197"/>
      <c r="E199" s="197"/>
      <c r="F199" s="197"/>
      <c r="G199" s="197"/>
      <c r="H199" s="197"/>
      <c r="I199" s="197"/>
      <c r="J199" s="197"/>
      <c r="K199" s="197"/>
      <c r="L199" s="197"/>
      <c r="M199" s="197"/>
      <c r="N199" s="197"/>
      <c r="O199" s="197"/>
    </row>
    <row r="200" spans="2:15" ht="12.75">
      <c r="B200" s="197"/>
      <c r="C200" s="197"/>
      <c r="D200" s="197"/>
      <c r="E200" s="197"/>
      <c r="F200" s="197"/>
      <c r="G200" s="197"/>
      <c r="H200" s="197"/>
      <c r="I200" s="197"/>
      <c r="J200" s="197"/>
      <c r="K200" s="197"/>
      <c r="L200" s="197"/>
      <c r="M200" s="197"/>
      <c r="N200" s="197"/>
      <c r="O200" s="197"/>
    </row>
    <row r="201" spans="2:15" ht="12.75">
      <c r="B201" s="197"/>
      <c r="C201" s="197"/>
      <c r="D201" s="197"/>
      <c r="E201" s="197"/>
      <c r="F201" s="197"/>
      <c r="G201" s="197"/>
      <c r="H201" s="197"/>
      <c r="I201" s="197"/>
      <c r="J201" s="197"/>
      <c r="K201" s="197"/>
      <c r="L201" s="197"/>
      <c r="M201" s="197"/>
      <c r="N201" s="197"/>
      <c r="O201" s="197"/>
    </row>
    <row r="202" spans="2:15" ht="12.75">
      <c r="B202" s="197"/>
      <c r="C202" s="197"/>
      <c r="D202" s="197"/>
      <c r="E202" s="197"/>
      <c r="F202" s="197"/>
      <c r="G202" s="197"/>
      <c r="H202" s="197"/>
      <c r="I202" s="197"/>
      <c r="J202" s="197"/>
      <c r="K202" s="197"/>
      <c r="L202" s="197"/>
      <c r="M202" s="197"/>
      <c r="N202" s="197"/>
      <c r="O202" s="197"/>
    </row>
    <row r="203" spans="2:15" ht="12.75">
      <c r="B203" s="197"/>
      <c r="C203" s="197"/>
      <c r="D203" s="197"/>
      <c r="E203" s="197"/>
      <c r="F203" s="197"/>
      <c r="G203" s="197"/>
      <c r="H203" s="197"/>
      <c r="I203" s="197"/>
      <c r="J203" s="197"/>
      <c r="K203" s="197"/>
      <c r="L203" s="197"/>
      <c r="M203" s="197"/>
      <c r="N203" s="197"/>
      <c r="O203" s="197"/>
    </row>
    <row r="204" spans="2:15" ht="12.75">
      <c r="B204" s="197"/>
      <c r="C204" s="197"/>
      <c r="D204" s="197"/>
      <c r="E204" s="197"/>
      <c r="F204" s="197"/>
      <c r="G204" s="197"/>
      <c r="H204" s="197"/>
      <c r="I204" s="197"/>
      <c r="J204" s="197"/>
      <c r="K204" s="197"/>
      <c r="L204" s="197"/>
      <c r="M204" s="197"/>
      <c r="N204" s="197"/>
      <c r="O204" s="197"/>
    </row>
    <row r="205" spans="2:15" ht="12.75">
      <c r="B205" s="197"/>
      <c r="C205" s="197"/>
      <c r="D205" s="197"/>
      <c r="E205" s="197"/>
      <c r="F205" s="197"/>
      <c r="G205" s="197"/>
      <c r="H205" s="197"/>
      <c r="I205" s="197"/>
      <c r="J205" s="197"/>
      <c r="K205" s="197"/>
      <c r="L205" s="197"/>
      <c r="M205" s="197"/>
      <c r="N205" s="197"/>
      <c r="O205" s="197"/>
    </row>
    <row r="206" spans="2:15" ht="12.75">
      <c r="B206" s="197"/>
      <c r="C206" s="197"/>
      <c r="D206" s="197"/>
      <c r="E206" s="197"/>
      <c r="F206" s="197"/>
      <c r="G206" s="197"/>
      <c r="H206" s="197"/>
      <c r="I206" s="197"/>
      <c r="J206" s="197"/>
      <c r="K206" s="197"/>
      <c r="L206" s="197"/>
      <c r="M206" s="197"/>
      <c r="N206" s="197"/>
      <c r="O206" s="197"/>
    </row>
    <row r="207" spans="2:15" ht="12.75">
      <c r="B207" s="197"/>
      <c r="C207" s="197"/>
      <c r="D207" s="197"/>
      <c r="E207" s="197"/>
      <c r="F207" s="197"/>
      <c r="G207" s="197"/>
      <c r="H207" s="197"/>
      <c r="I207" s="197"/>
      <c r="J207" s="197"/>
      <c r="K207" s="197"/>
      <c r="L207" s="197"/>
      <c r="M207" s="197"/>
      <c r="N207" s="197"/>
      <c r="O207" s="197"/>
    </row>
    <row r="208" spans="2:15" ht="12.75">
      <c r="B208" s="197"/>
      <c r="C208" s="197"/>
      <c r="D208" s="197"/>
      <c r="E208" s="197"/>
      <c r="F208" s="197"/>
      <c r="G208" s="197"/>
      <c r="H208" s="197"/>
      <c r="I208" s="197"/>
      <c r="J208" s="197"/>
      <c r="K208" s="197"/>
      <c r="L208" s="197"/>
      <c r="M208" s="197"/>
      <c r="N208" s="197"/>
      <c r="O208" s="197"/>
    </row>
    <row r="209" spans="2:15" ht="12.75">
      <c r="B209" s="197"/>
      <c r="C209" s="197"/>
      <c r="D209" s="197"/>
      <c r="E209" s="197"/>
      <c r="F209" s="197"/>
      <c r="G209" s="197"/>
      <c r="H209" s="197"/>
      <c r="I209" s="197"/>
      <c r="J209" s="197"/>
      <c r="K209" s="197"/>
      <c r="L209" s="197"/>
      <c r="M209" s="197"/>
      <c r="N209" s="197"/>
      <c r="O209" s="197"/>
    </row>
    <row r="210" spans="2:15" ht="12.75">
      <c r="B210" s="197"/>
      <c r="C210" s="197"/>
      <c r="D210" s="197"/>
      <c r="E210" s="197"/>
      <c r="F210" s="197"/>
      <c r="G210" s="197"/>
      <c r="H210" s="197"/>
      <c r="I210" s="197"/>
      <c r="J210" s="197"/>
      <c r="K210" s="197"/>
      <c r="L210" s="197"/>
      <c r="M210" s="197"/>
      <c r="N210" s="197"/>
      <c r="O210" s="197"/>
    </row>
    <row r="211" spans="2:15" ht="12.75">
      <c r="B211" s="197"/>
      <c r="C211" s="197"/>
      <c r="D211" s="197"/>
      <c r="E211" s="197"/>
      <c r="F211" s="197"/>
      <c r="G211" s="197"/>
      <c r="H211" s="197"/>
      <c r="I211" s="197"/>
      <c r="J211" s="197"/>
      <c r="K211" s="197"/>
      <c r="L211" s="197"/>
      <c r="M211" s="197"/>
      <c r="N211" s="197"/>
      <c r="O211" s="197"/>
    </row>
    <row r="212" spans="2:15" ht="12.75">
      <c r="B212" s="197"/>
      <c r="C212" s="197"/>
      <c r="D212" s="197"/>
      <c r="E212" s="197"/>
      <c r="F212" s="197"/>
      <c r="G212" s="197"/>
      <c r="H212" s="197"/>
      <c r="I212" s="197"/>
      <c r="J212" s="197"/>
      <c r="K212" s="197"/>
      <c r="L212" s="197"/>
      <c r="M212" s="197"/>
      <c r="N212" s="197"/>
      <c r="O212" s="197"/>
    </row>
    <row r="213" spans="2:15" ht="12.75">
      <c r="B213" s="197"/>
      <c r="C213" s="197"/>
      <c r="D213" s="197"/>
      <c r="E213" s="197"/>
      <c r="F213" s="197"/>
      <c r="G213" s="197"/>
      <c r="H213" s="197"/>
      <c r="I213" s="197"/>
      <c r="J213" s="197"/>
      <c r="K213" s="197"/>
      <c r="L213" s="197"/>
      <c r="M213" s="197"/>
      <c r="N213" s="197"/>
      <c r="O213" s="197"/>
    </row>
    <row r="214" spans="2:15" ht="12.75">
      <c r="B214" s="197"/>
      <c r="C214" s="197"/>
      <c r="D214" s="197"/>
      <c r="E214" s="197"/>
      <c r="F214" s="197"/>
      <c r="G214" s="197"/>
      <c r="H214" s="197"/>
      <c r="I214" s="197"/>
      <c r="J214" s="197"/>
      <c r="K214" s="197"/>
      <c r="L214" s="197"/>
      <c r="M214" s="197"/>
      <c r="N214" s="197"/>
      <c r="O214" s="197"/>
    </row>
    <row r="215" spans="2:15" ht="12.75">
      <c r="B215" s="197"/>
      <c r="C215" s="197"/>
      <c r="D215" s="197"/>
      <c r="E215" s="197"/>
      <c r="F215" s="197"/>
      <c r="G215" s="197"/>
      <c r="H215" s="197"/>
      <c r="I215" s="197"/>
      <c r="J215" s="197"/>
      <c r="K215" s="197"/>
      <c r="L215" s="197"/>
      <c r="M215" s="197"/>
      <c r="N215" s="197"/>
      <c r="O215" s="197"/>
    </row>
    <row r="216" spans="2:15" ht="12.75">
      <c r="B216" s="197"/>
      <c r="C216" s="197"/>
      <c r="D216" s="197"/>
      <c r="E216" s="197"/>
      <c r="F216" s="197"/>
      <c r="G216" s="197"/>
      <c r="H216" s="197"/>
      <c r="I216" s="197"/>
      <c r="J216" s="197"/>
      <c r="K216" s="197"/>
      <c r="L216" s="197"/>
      <c r="M216" s="197"/>
      <c r="N216" s="197"/>
      <c r="O216" s="197"/>
    </row>
    <row r="217" spans="2:15" ht="12.75">
      <c r="B217" s="197"/>
      <c r="C217" s="197"/>
      <c r="D217" s="197"/>
      <c r="E217" s="197"/>
      <c r="F217" s="197"/>
      <c r="G217" s="197"/>
      <c r="H217" s="197"/>
      <c r="I217" s="197"/>
      <c r="J217" s="197"/>
      <c r="K217" s="197"/>
      <c r="L217" s="197"/>
      <c r="M217" s="197"/>
      <c r="N217" s="197"/>
      <c r="O217" s="197"/>
    </row>
    <row r="218" spans="2:15" ht="12.75">
      <c r="B218" s="197"/>
      <c r="C218" s="197"/>
      <c r="D218" s="197"/>
      <c r="E218" s="197"/>
      <c r="F218" s="197"/>
      <c r="G218" s="197"/>
      <c r="H218" s="197"/>
      <c r="I218" s="197"/>
      <c r="J218" s="197"/>
      <c r="K218" s="197"/>
      <c r="L218" s="197"/>
      <c r="M218" s="197"/>
      <c r="N218" s="197"/>
      <c r="O218" s="197"/>
    </row>
    <row r="219" spans="2:15" ht="12.75">
      <c r="B219" s="197"/>
      <c r="C219" s="197"/>
      <c r="D219" s="197"/>
      <c r="E219" s="197"/>
      <c r="F219" s="197"/>
      <c r="G219" s="197"/>
      <c r="H219" s="197"/>
      <c r="I219" s="197"/>
      <c r="J219" s="197"/>
      <c r="K219" s="197"/>
      <c r="L219" s="197"/>
      <c r="M219" s="197"/>
      <c r="N219" s="197"/>
      <c r="O219" s="197"/>
    </row>
    <row r="220" spans="2:15" ht="12.75">
      <c r="B220" s="197"/>
      <c r="C220" s="197"/>
      <c r="D220" s="197"/>
      <c r="E220" s="197"/>
      <c r="F220" s="197"/>
      <c r="G220" s="197"/>
      <c r="H220" s="197"/>
      <c r="I220" s="197"/>
      <c r="J220" s="197"/>
      <c r="K220" s="197"/>
      <c r="L220" s="197"/>
      <c r="M220" s="197"/>
      <c r="N220" s="197"/>
      <c r="O220" s="197"/>
    </row>
    <row r="221" spans="2:15" ht="12.75">
      <c r="B221" s="197"/>
      <c r="C221" s="197"/>
      <c r="D221" s="197"/>
      <c r="E221" s="197"/>
      <c r="F221" s="197"/>
      <c r="G221" s="197"/>
      <c r="H221" s="197"/>
      <c r="I221" s="197"/>
      <c r="J221" s="197"/>
      <c r="K221" s="197"/>
      <c r="L221" s="197"/>
      <c r="M221" s="197"/>
      <c r="N221" s="197"/>
      <c r="O221" s="197"/>
    </row>
    <row r="222" spans="2:15" ht="12.75">
      <c r="B222" s="197"/>
      <c r="C222" s="197"/>
      <c r="D222" s="197"/>
      <c r="E222" s="197"/>
      <c r="F222" s="197"/>
      <c r="G222" s="197"/>
      <c r="H222" s="197"/>
      <c r="I222" s="197"/>
      <c r="J222" s="197"/>
      <c r="K222" s="197"/>
      <c r="L222" s="197"/>
      <c r="M222" s="197"/>
      <c r="N222" s="197"/>
      <c r="O222" s="197"/>
    </row>
    <row r="223" spans="2:15" ht="12.75">
      <c r="B223" s="197"/>
      <c r="C223" s="197"/>
      <c r="D223" s="197"/>
      <c r="E223" s="197"/>
      <c r="F223" s="197"/>
      <c r="G223" s="197"/>
      <c r="H223" s="197"/>
      <c r="I223" s="197"/>
      <c r="J223" s="197"/>
      <c r="K223" s="197"/>
      <c r="L223" s="197"/>
      <c r="M223" s="197"/>
      <c r="N223" s="197"/>
      <c r="O223" s="197"/>
    </row>
    <row r="224" spans="2:15" ht="12.75">
      <c r="B224" s="197"/>
      <c r="C224" s="197"/>
      <c r="D224" s="197"/>
      <c r="E224" s="197"/>
      <c r="F224" s="197"/>
      <c r="G224" s="197"/>
      <c r="H224" s="197"/>
      <c r="I224" s="197"/>
      <c r="J224" s="197"/>
      <c r="K224" s="197"/>
      <c r="L224" s="197"/>
      <c r="M224" s="197"/>
      <c r="N224" s="197"/>
      <c r="O224" s="197"/>
    </row>
    <row r="225" spans="2:15" ht="12.75">
      <c r="B225" s="197"/>
      <c r="C225" s="197"/>
      <c r="D225" s="197"/>
      <c r="E225" s="197"/>
      <c r="F225" s="197"/>
      <c r="G225" s="197"/>
      <c r="H225" s="197"/>
      <c r="I225" s="197"/>
      <c r="J225" s="197"/>
      <c r="K225" s="197"/>
      <c r="L225" s="197"/>
      <c r="M225" s="197"/>
      <c r="N225" s="197"/>
      <c r="O225" s="197"/>
    </row>
    <row r="226" spans="2:15" ht="12.75">
      <c r="B226" s="197"/>
      <c r="C226" s="197"/>
      <c r="D226" s="197"/>
      <c r="E226" s="197"/>
      <c r="F226" s="197"/>
      <c r="G226" s="197"/>
      <c r="H226" s="197"/>
      <c r="I226" s="197"/>
      <c r="J226" s="197"/>
      <c r="K226" s="197"/>
      <c r="L226" s="197"/>
      <c r="M226" s="197"/>
      <c r="N226" s="197"/>
      <c r="O226" s="197"/>
    </row>
    <row r="227" spans="2:15" ht="12.75">
      <c r="B227" s="197"/>
      <c r="C227" s="197"/>
      <c r="D227" s="197"/>
      <c r="E227" s="197"/>
      <c r="F227" s="197"/>
      <c r="G227" s="197"/>
      <c r="H227" s="197"/>
      <c r="I227" s="197"/>
      <c r="J227" s="197"/>
      <c r="K227" s="197"/>
      <c r="L227" s="197"/>
      <c r="M227" s="197"/>
      <c r="N227" s="197"/>
      <c r="O227" s="197"/>
    </row>
    <row r="228" spans="2:15" ht="12.75">
      <c r="B228" s="197"/>
      <c r="C228" s="197"/>
      <c r="D228" s="197"/>
      <c r="E228" s="197"/>
      <c r="F228" s="197"/>
      <c r="G228" s="197"/>
      <c r="H228" s="197"/>
      <c r="I228" s="197"/>
      <c r="J228" s="197"/>
      <c r="K228" s="197"/>
      <c r="L228" s="197"/>
      <c r="M228" s="197"/>
      <c r="N228" s="197"/>
      <c r="O228" s="197"/>
    </row>
    <row r="229" spans="2:15" ht="12.75">
      <c r="B229" s="197"/>
      <c r="C229" s="197"/>
      <c r="D229" s="197"/>
      <c r="E229" s="197"/>
      <c r="F229" s="197"/>
      <c r="G229" s="197"/>
      <c r="H229" s="197"/>
      <c r="I229" s="197"/>
      <c r="J229" s="197"/>
      <c r="K229" s="197"/>
      <c r="L229" s="197"/>
      <c r="M229" s="197"/>
      <c r="N229" s="197"/>
      <c r="O229" s="197"/>
    </row>
    <row r="230" spans="2:15" ht="12.75">
      <c r="B230" s="197"/>
      <c r="C230" s="197"/>
      <c r="D230" s="197"/>
      <c r="E230" s="197"/>
      <c r="F230" s="197"/>
      <c r="G230" s="197"/>
      <c r="H230" s="197"/>
      <c r="I230" s="197"/>
      <c r="J230" s="197"/>
      <c r="K230" s="197"/>
      <c r="L230" s="197"/>
      <c r="M230" s="197"/>
      <c r="N230" s="197"/>
      <c r="O230" s="197"/>
    </row>
    <row r="231" spans="2:15" ht="12.75">
      <c r="B231" s="197"/>
      <c r="C231" s="197"/>
      <c r="D231" s="197"/>
      <c r="E231" s="197"/>
      <c r="F231" s="197"/>
      <c r="G231" s="197"/>
      <c r="H231" s="197"/>
      <c r="I231" s="197"/>
      <c r="J231" s="197"/>
      <c r="K231" s="197"/>
      <c r="L231" s="197"/>
      <c r="M231" s="197"/>
      <c r="N231" s="197"/>
      <c r="O231" s="197"/>
    </row>
    <row r="232" spans="2:15" ht="12.75">
      <c r="B232" s="197"/>
      <c r="C232" s="197"/>
      <c r="D232" s="197"/>
      <c r="E232" s="197"/>
      <c r="F232" s="197"/>
      <c r="G232" s="197"/>
      <c r="H232" s="197"/>
      <c r="I232" s="197"/>
      <c r="J232" s="197"/>
      <c r="K232" s="197"/>
      <c r="L232" s="197"/>
      <c r="M232" s="197"/>
      <c r="N232" s="197"/>
      <c r="O232" s="197"/>
    </row>
    <row r="233" spans="2:15" ht="12.75">
      <c r="B233" s="197"/>
      <c r="C233" s="197"/>
      <c r="D233" s="197"/>
      <c r="E233" s="197"/>
      <c r="F233" s="197"/>
      <c r="G233" s="197"/>
      <c r="H233" s="197"/>
      <c r="I233" s="197"/>
      <c r="J233" s="197"/>
      <c r="K233" s="197"/>
      <c r="L233" s="197"/>
      <c r="M233" s="197"/>
      <c r="N233" s="197"/>
      <c r="O233" s="197"/>
    </row>
    <row r="234" spans="2:15" ht="12.75">
      <c r="B234" s="197"/>
      <c r="C234" s="197"/>
      <c r="D234" s="197"/>
      <c r="E234" s="197"/>
      <c r="F234" s="197"/>
      <c r="G234" s="197"/>
      <c r="H234" s="197"/>
      <c r="I234" s="197"/>
      <c r="J234" s="197"/>
      <c r="K234" s="197"/>
      <c r="L234" s="197"/>
      <c r="M234" s="197"/>
      <c r="N234" s="197"/>
      <c r="O234" s="197"/>
    </row>
    <row r="235" spans="2:15" ht="12.75">
      <c r="B235" s="197"/>
      <c r="C235" s="197"/>
      <c r="D235" s="197"/>
      <c r="E235" s="197"/>
      <c r="F235" s="197"/>
      <c r="G235" s="197"/>
      <c r="H235" s="197"/>
      <c r="I235" s="197"/>
      <c r="J235" s="197"/>
      <c r="K235" s="197"/>
      <c r="L235" s="197"/>
      <c r="M235" s="197"/>
      <c r="N235" s="197"/>
      <c r="O235" s="197"/>
    </row>
    <row r="236" spans="2:15" ht="12.75">
      <c r="B236" s="197"/>
      <c r="C236" s="197"/>
      <c r="D236" s="197"/>
      <c r="E236" s="197"/>
      <c r="F236" s="197"/>
      <c r="G236" s="197"/>
      <c r="H236" s="197"/>
      <c r="I236" s="197"/>
      <c r="J236" s="197"/>
      <c r="K236" s="197"/>
      <c r="L236" s="197"/>
      <c r="M236" s="197"/>
      <c r="N236" s="197"/>
      <c r="O236" s="197"/>
    </row>
    <row r="237" spans="2:15" ht="12.75">
      <c r="B237" s="197"/>
      <c r="C237" s="197"/>
      <c r="D237" s="197"/>
      <c r="E237" s="197"/>
      <c r="F237" s="197"/>
      <c r="G237" s="197"/>
      <c r="H237" s="197"/>
      <c r="I237" s="197"/>
      <c r="J237" s="197"/>
      <c r="K237" s="197"/>
      <c r="L237" s="197"/>
      <c r="M237" s="197"/>
      <c r="N237" s="197"/>
      <c r="O237" s="197"/>
    </row>
    <row r="238" spans="2:15" ht="12.75">
      <c r="B238" s="197"/>
      <c r="C238" s="197"/>
      <c r="D238" s="197"/>
      <c r="E238" s="197"/>
      <c r="F238" s="197"/>
      <c r="G238" s="197"/>
      <c r="H238" s="197"/>
      <c r="I238" s="197"/>
      <c r="J238" s="197"/>
      <c r="K238" s="197"/>
      <c r="L238" s="197"/>
      <c r="M238" s="197"/>
      <c r="N238" s="197"/>
      <c r="O238" s="197"/>
    </row>
    <row r="239" spans="2:15" ht="12.75">
      <c r="B239" s="197"/>
      <c r="C239" s="197"/>
      <c r="D239" s="197"/>
      <c r="E239" s="197"/>
      <c r="F239" s="197"/>
      <c r="G239" s="197"/>
      <c r="H239" s="197"/>
      <c r="I239" s="197"/>
      <c r="J239" s="197"/>
      <c r="K239" s="197"/>
      <c r="L239" s="197"/>
      <c r="M239" s="197"/>
      <c r="N239" s="197"/>
      <c r="O239" s="197"/>
    </row>
    <row r="240" spans="2:15" ht="12.75">
      <c r="B240" s="197"/>
      <c r="C240" s="197"/>
      <c r="D240" s="197"/>
      <c r="E240" s="197"/>
      <c r="F240" s="197"/>
      <c r="G240" s="197"/>
      <c r="H240" s="197"/>
      <c r="I240" s="197"/>
      <c r="J240" s="197"/>
      <c r="K240" s="197"/>
      <c r="L240" s="197"/>
      <c r="M240" s="197"/>
      <c r="N240" s="197"/>
      <c r="O240" s="197"/>
    </row>
    <row r="241" spans="2:15" ht="12.75">
      <c r="B241" s="197"/>
      <c r="C241" s="197"/>
      <c r="D241" s="197"/>
      <c r="E241" s="197"/>
      <c r="F241" s="197"/>
      <c r="G241" s="197"/>
      <c r="H241" s="197"/>
      <c r="I241" s="197"/>
      <c r="J241" s="197"/>
      <c r="K241" s="197"/>
      <c r="L241" s="197"/>
      <c r="M241" s="197"/>
      <c r="N241" s="197"/>
      <c r="O241" s="197"/>
    </row>
    <row r="242" spans="2:15" ht="12.75">
      <c r="B242" s="197"/>
      <c r="C242" s="197"/>
      <c r="D242" s="197"/>
      <c r="E242" s="197"/>
      <c r="F242" s="197"/>
      <c r="G242" s="197"/>
      <c r="H242" s="197"/>
      <c r="I242" s="197"/>
      <c r="J242" s="197"/>
      <c r="K242" s="197"/>
      <c r="L242" s="197"/>
      <c r="M242" s="197"/>
      <c r="N242" s="197"/>
      <c r="O242" s="197"/>
    </row>
    <row r="243" spans="2:15" ht="12.75">
      <c r="B243" s="197"/>
      <c r="C243" s="197"/>
      <c r="D243" s="197"/>
      <c r="E243" s="197"/>
      <c r="F243" s="197"/>
      <c r="G243" s="197"/>
      <c r="H243" s="197"/>
      <c r="I243" s="197"/>
      <c r="J243" s="197"/>
      <c r="K243" s="197"/>
      <c r="L243" s="197"/>
      <c r="M243" s="197"/>
      <c r="N243" s="197"/>
      <c r="O243" s="197"/>
    </row>
    <row r="244" spans="2:15" ht="12.75">
      <c r="B244" s="197"/>
      <c r="C244" s="197"/>
      <c r="D244" s="197"/>
      <c r="E244" s="197"/>
      <c r="F244" s="197"/>
      <c r="G244" s="197"/>
      <c r="H244" s="197"/>
      <c r="I244" s="197"/>
      <c r="J244" s="197"/>
      <c r="K244" s="197"/>
      <c r="L244" s="197"/>
      <c r="M244" s="197"/>
      <c r="N244" s="197"/>
      <c r="O244" s="197"/>
    </row>
    <row r="245" spans="2:15" ht="12.75">
      <c r="B245" s="197"/>
      <c r="C245" s="197"/>
      <c r="D245" s="197"/>
      <c r="E245" s="197"/>
      <c r="F245" s="197"/>
      <c r="G245" s="197"/>
      <c r="H245" s="197"/>
      <c r="I245" s="197"/>
      <c r="J245" s="197"/>
      <c r="K245" s="197"/>
      <c r="L245" s="197"/>
      <c r="M245" s="197"/>
      <c r="N245" s="197"/>
      <c r="O245" s="197"/>
    </row>
    <row r="246" spans="2:15" ht="12.75">
      <c r="B246" s="197"/>
      <c r="C246" s="197"/>
      <c r="D246" s="197"/>
      <c r="E246" s="197"/>
      <c r="F246" s="197"/>
      <c r="G246" s="197"/>
      <c r="H246" s="197"/>
      <c r="I246" s="197"/>
      <c r="J246" s="197"/>
      <c r="K246" s="197"/>
      <c r="L246" s="197"/>
      <c r="M246" s="197"/>
      <c r="N246" s="197"/>
      <c r="O246" s="197"/>
    </row>
    <row r="247" spans="2:15" ht="12.75">
      <c r="B247" s="197"/>
      <c r="C247" s="197"/>
      <c r="D247" s="197"/>
      <c r="E247" s="197"/>
      <c r="F247" s="197"/>
      <c r="G247" s="197"/>
      <c r="H247" s="197"/>
      <c r="I247" s="197"/>
      <c r="J247" s="197"/>
      <c r="K247" s="197"/>
      <c r="L247" s="197"/>
      <c r="M247" s="197"/>
      <c r="N247" s="197"/>
      <c r="O247" s="197"/>
    </row>
    <row r="248" spans="2:15" ht="12.75">
      <c r="B248" s="197"/>
      <c r="C248" s="197"/>
      <c r="D248" s="197"/>
      <c r="E248" s="197"/>
      <c r="F248" s="197"/>
      <c r="G248" s="197"/>
      <c r="H248" s="197"/>
      <c r="I248" s="197"/>
      <c r="J248" s="197"/>
      <c r="K248" s="197"/>
      <c r="L248" s="197"/>
      <c r="M248" s="197"/>
      <c r="N248" s="197"/>
      <c r="O248" s="197"/>
    </row>
    <row r="249" spans="2:15" ht="12.75">
      <c r="B249" s="197"/>
      <c r="C249" s="197"/>
      <c r="D249" s="197"/>
      <c r="E249" s="197"/>
      <c r="F249" s="197"/>
      <c r="G249" s="197"/>
      <c r="H249" s="197"/>
      <c r="I249" s="197"/>
      <c r="J249" s="197"/>
      <c r="K249" s="197"/>
      <c r="L249" s="197"/>
      <c r="M249" s="197"/>
      <c r="N249" s="197"/>
      <c r="O249" s="197"/>
    </row>
    <row r="250" spans="2:15" ht="12.75">
      <c r="B250" s="197"/>
      <c r="C250" s="197"/>
      <c r="D250" s="197"/>
      <c r="E250" s="197"/>
      <c r="F250" s="197"/>
      <c r="G250" s="197"/>
      <c r="H250" s="197"/>
      <c r="I250" s="197"/>
      <c r="J250" s="197"/>
      <c r="K250" s="197"/>
      <c r="L250" s="197"/>
      <c r="M250" s="197"/>
      <c r="N250" s="197"/>
      <c r="O250" s="197"/>
    </row>
    <row r="251" spans="2:15" ht="12.75">
      <c r="B251" s="197"/>
      <c r="C251" s="197"/>
      <c r="D251" s="197"/>
      <c r="E251" s="197"/>
      <c r="F251" s="197"/>
      <c r="G251" s="197"/>
      <c r="H251" s="197"/>
      <c r="I251" s="197"/>
      <c r="J251" s="197"/>
      <c r="K251" s="197"/>
      <c r="L251" s="197"/>
      <c r="M251" s="197"/>
      <c r="N251" s="197"/>
      <c r="O251" s="197"/>
    </row>
    <row r="252" spans="2:15" ht="12.75">
      <c r="B252" s="197"/>
      <c r="C252" s="197"/>
      <c r="D252" s="197"/>
      <c r="E252" s="197"/>
      <c r="F252" s="197"/>
      <c r="G252" s="197"/>
      <c r="H252" s="197"/>
      <c r="I252" s="197"/>
      <c r="J252" s="197"/>
      <c r="K252" s="197"/>
      <c r="L252" s="197"/>
      <c r="M252" s="197"/>
      <c r="N252" s="197"/>
      <c r="O252" s="197"/>
    </row>
    <row r="253" spans="2:15" ht="12.75">
      <c r="B253" s="197"/>
      <c r="C253" s="197"/>
      <c r="D253" s="197"/>
      <c r="E253" s="197"/>
      <c r="F253" s="197"/>
      <c r="G253" s="197"/>
      <c r="H253" s="197"/>
      <c r="I253" s="197"/>
      <c r="J253" s="197"/>
      <c r="K253" s="197"/>
      <c r="L253" s="197"/>
      <c r="M253" s="197"/>
      <c r="N253" s="197"/>
      <c r="O253" s="197"/>
    </row>
    <row r="254" spans="2:15" ht="12.75">
      <c r="B254" s="197"/>
      <c r="C254" s="197"/>
      <c r="D254" s="197"/>
      <c r="E254" s="197"/>
      <c r="F254" s="197"/>
      <c r="G254" s="197"/>
      <c r="H254" s="197"/>
      <c r="I254" s="197"/>
      <c r="J254" s="197"/>
      <c r="K254" s="197"/>
      <c r="L254" s="197"/>
      <c r="M254" s="197"/>
      <c r="N254" s="197"/>
      <c r="O254" s="197"/>
    </row>
    <row r="255" spans="2:15" ht="12.75">
      <c r="B255" s="197"/>
      <c r="C255" s="197"/>
      <c r="D255" s="197"/>
      <c r="E255" s="197"/>
      <c r="F255" s="197"/>
      <c r="G255" s="197"/>
      <c r="H255" s="197"/>
      <c r="I255" s="197"/>
      <c r="J255" s="197"/>
      <c r="K255" s="197"/>
      <c r="L255" s="197"/>
      <c r="M255" s="197"/>
      <c r="N255" s="197"/>
      <c r="O255" s="197"/>
    </row>
    <row r="256" spans="2:15" ht="12.75">
      <c r="B256" s="197"/>
      <c r="C256" s="197"/>
      <c r="D256" s="197"/>
      <c r="E256" s="197"/>
      <c r="F256" s="197"/>
      <c r="G256" s="197"/>
      <c r="H256" s="197"/>
      <c r="I256" s="197"/>
      <c r="J256" s="197"/>
      <c r="K256" s="197"/>
      <c r="L256" s="197"/>
      <c r="M256" s="197"/>
      <c r="N256" s="197"/>
      <c r="O256" s="197"/>
    </row>
    <row r="257" spans="2:15" ht="12.75">
      <c r="B257" s="197"/>
      <c r="C257" s="197"/>
      <c r="D257" s="197"/>
      <c r="E257" s="197"/>
      <c r="F257" s="197"/>
      <c r="G257" s="197"/>
      <c r="H257" s="197"/>
      <c r="I257" s="197"/>
      <c r="J257" s="197"/>
      <c r="K257" s="197"/>
      <c r="L257" s="197"/>
      <c r="M257" s="197"/>
      <c r="N257" s="197"/>
      <c r="O257" s="197"/>
    </row>
    <row r="258" spans="2:15" ht="12.75">
      <c r="B258" s="197"/>
      <c r="C258" s="197"/>
      <c r="D258" s="197"/>
      <c r="E258" s="197"/>
      <c r="F258" s="197"/>
      <c r="G258" s="197"/>
      <c r="H258" s="197"/>
      <c r="I258" s="197"/>
      <c r="J258" s="197"/>
      <c r="K258" s="197"/>
      <c r="L258" s="197"/>
      <c r="M258" s="197"/>
      <c r="N258" s="197"/>
      <c r="O258" s="197"/>
    </row>
    <row r="259" spans="2:15" ht="12.75">
      <c r="B259" s="197"/>
      <c r="C259" s="197"/>
      <c r="D259" s="197"/>
      <c r="E259" s="197"/>
      <c r="F259" s="197"/>
      <c r="G259" s="197"/>
      <c r="H259" s="197"/>
      <c r="I259" s="197"/>
      <c r="J259" s="197"/>
      <c r="K259" s="197"/>
      <c r="L259" s="197"/>
      <c r="M259" s="197"/>
      <c r="N259" s="197"/>
      <c r="O259" s="197"/>
    </row>
    <row r="260" spans="2:15" ht="12.75">
      <c r="B260" s="197"/>
      <c r="C260" s="197"/>
      <c r="D260" s="197"/>
      <c r="E260" s="197"/>
      <c r="F260" s="197"/>
      <c r="G260" s="197"/>
      <c r="H260" s="197"/>
      <c r="I260" s="197"/>
      <c r="J260" s="197"/>
      <c r="K260" s="197"/>
      <c r="L260" s="197"/>
      <c r="M260" s="197"/>
      <c r="N260" s="197"/>
      <c r="O260" s="197"/>
    </row>
    <row r="261" spans="2:15" ht="12.75">
      <c r="B261" s="197"/>
      <c r="C261" s="197"/>
      <c r="D261" s="197"/>
      <c r="E261" s="197"/>
      <c r="F261" s="197"/>
      <c r="G261" s="197"/>
      <c r="H261" s="197"/>
      <c r="I261" s="197"/>
      <c r="J261" s="197"/>
      <c r="K261" s="197"/>
      <c r="L261" s="197"/>
      <c r="M261" s="197"/>
      <c r="N261" s="197"/>
      <c r="O261" s="197"/>
    </row>
    <row r="262" spans="2:15" ht="12.75">
      <c r="B262" s="197"/>
      <c r="C262" s="197"/>
      <c r="D262" s="197"/>
      <c r="E262" s="197"/>
      <c r="F262" s="197"/>
      <c r="G262" s="197"/>
      <c r="H262" s="197"/>
      <c r="I262" s="197"/>
      <c r="J262" s="197"/>
      <c r="K262" s="197"/>
      <c r="L262" s="197"/>
      <c r="M262" s="197"/>
      <c r="N262" s="197"/>
      <c r="O262" s="197"/>
    </row>
    <row r="263" spans="2:15" ht="12.75">
      <c r="B263" s="197"/>
      <c r="C263" s="197"/>
      <c r="D263" s="197"/>
      <c r="E263" s="197"/>
      <c r="F263" s="197"/>
      <c r="G263" s="197"/>
      <c r="H263" s="197"/>
      <c r="I263" s="197"/>
      <c r="J263" s="197"/>
      <c r="K263" s="197"/>
      <c r="L263" s="197"/>
      <c r="M263" s="197"/>
      <c r="N263" s="197"/>
      <c r="O263" s="197"/>
    </row>
    <row r="264" spans="2:15" ht="12.75">
      <c r="B264" s="197"/>
      <c r="C264" s="197"/>
      <c r="D264" s="197"/>
      <c r="E264" s="197"/>
      <c r="F264" s="197"/>
      <c r="G264" s="197"/>
      <c r="H264" s="197"/>
      <c r="I264" s="197"/>
      <c r="J264" s="197"/>
      <c r="K264" s="197"/>
      <c r="L264" s="197"/>
      <c r="M264" s="197"/>
      <c r="N264" s="197"/>
      <c r="O264" s="197"/>
    </row>
    <row r="265" spans="2:15" ht="12.75">
      <c r="B265" s="197"/>
      <c r="C265" s="197"/>
      <c r="D265" s="197"/>
      <c r="E265" s="197"/>
      <c r="F265" s="197"/>
      <c r="G265" s="197"/>
      <c r="H265" s="197"/>
      <c r="I265" s="197"/>
      <c r="J265" s="197"/>
      <c r="K265" s="197"/>
      <c r="L265" s="197"/>
      <c r="M265" s="197"/>
      <c r="N265" s="197"/>
      <c r="O265" s="197"/>
    </row>
    <row r="266" spans="2:15" ht="12.75">
      <c r="B266" s="197"/>
      <c r="C266" s="197"/>
      <c r="D266" s="197"/>
      <c r="E266" s="197"/>
      <c r="F266" s="197"/>
      <c r="G266" s="197"/>
      <c r="H266" s="197"/>
      <c r="I266" s="197"/>
      <c r="J266" s="197"/>
      <c r="K266" s="197"/>
      <c r="L266" s="197"/>
      <c r="M266" s="197"/>
      <c r="N266" s="197"/>
      <c r="O266" s="197"/>
    </row>
    <row r="267" spans="2:15" ht="12.75">
      <c r="B267" s="197"/>
      <c r="C267" s="197"/>
      <c r="D267" s="197"/>
      <c r="E267" s="197"/>
      <c r="F267" s="197"/>
      <c r="G267" s="197"/>
      <c r="H267" s="197"/>
      <c r="I267" s="197"/>
      <c r="J267" s="197"/>
      <c r="K267" s="197"/>
      <c r="L267" s="197"/>
      <c r="M267" s="197"/>
      <c r="N267" s="197"/>
      <c r="O267" s="197"/>
    </row>
    <row r="268" spans="2:15" ht="12.75">
      <c r="B268" s="197"/>
      <c r="C268" s="197"/>
      <c r="D268" s="197"/>
      <c r="E268" s="197"/>
      <c r="F268" s="197"/>
      <c r="G268" s="197"/>
      <c r="H268" s="197"/>
      <c r="I268" s="197"/>
      <c r="J268" s="197"/>
      <c r="K268" s="197"/>
      <c r="L268" s="197"/>
      <c r="M268" s="197"/>
      <c r="N268" s="197"/>
      <c r="O268" s="197"/>
    </row>
    <row r="269" spans="2:15" ht="12.75">
      <c r="B269" s="197"/>
      <c r="C269" s="197"/>
      <c r="D269" s="197"/>
      <c r="E269" s="197"/>
      <c r="F269" s="197"/>
      <c r="G269" s="197"/>
      <c r="H269" s="197"/>
      <c r="I269" s="197"/>
      <c r="J269" s="197"/>
      <c r="K269" s="197"/>
      <c r="L269" s="197"/>
      <c r="M269" s="197"/>
      <c r="N269" s="197"/>
      <c r="O269" s="197"/>
    </row>
    <row r="270" spans="2:15" ht="12.75">
      <c r="B270" s="197"/>
      <c r="C270" s="197"/>
      <c r="D270" s="197"/>
      <c r="E270" s="197"/>
      <c r="F270" s="197"/>
      <c r="G270" s="197"/>
      <c r="H270" s="197"/>
      <c r="I270" s="197"/>
      <c r="J270" s="197"/>
      <c r="K270" s="197"/>
      <c r="L270" s="197"/>
      <c r="M270" s="197"/>
      <c r="N270" s="197"/>
      <c r="O270" s="197"/>
    </row>
    <row r="271" spans="2:15" ht="12.75">
      <c r="B271" s="197"/>
      <c r="C271" s="197"/>
      <c r="D271" s="197"/>
      <c r="E271" s="197"/>
      <c r="F271" s="197"/>
      <c r="G271" s="197"/>
      <c r="H271" s="197"/>
      <c r="I271" s="197"/>
      <c r="J271" s="197"/>
      <c r="K271" s="197"/>
      <c r="L271" s="197"/>
      <c r="M271" s="197"/>
      <c r="N271" s="197"/>
      <c r="O271" s="197"/>
    </row>
    <row r="272" spans="2:15" ht="12.75">
      <c r="B272" s="197"/>
      <c r="C272" s="197"/>
      <c r="D272" s="197"/>
      <c r="E272" s="197"/>
      <c r="F272" s="197"/>
      <c r="G272" s="197"/>
      <c r="H272" s="197"/>
      <c r="I272" s="197"/>
      <c r="J272" s="197"/>
      <c r="K272" s="197"/>
      <c r="L272" s="197"/>
      <c r="M272" s="197"/>
      <c r="N272" s="197"/>
      <c r="O272" s="197"/>
    </row>
    <row r="273" spans="2:15" ht="12.75">
      <c r="B273" s="197"/>
      <c r="C273" s="197"/>
      <c r="D273" s="197"/>
      <c r="E273" s="197"/>
      <c r="F273" s="197"/>
      <c r="G273" s="197"/>
      <c r="H273" s="197"/>
      <c r="I273" s="197"/>
      <c r="J273" s="197"/>
      <c r="K273" s="197"/>
      <c r="L273" s="197"/>
      <c r="M273" s="197"/>
      <c r="N273" s="197"/>
      <c r="O273" s="197"/>
    </row>
    <row r="274" spans="2:15" ht="12.75">
      <c r="B274" s="197"/>
      <c r="C274" s="197"/>
      <c r="D274" s="197"/>
      <c r="E274" s="197"/>
      <c r="F274" s="197"/>
      <c r="G274" s="197"/>
      <c r="H274" s="197"/>
      <c r="I274" s="197"/>
      <c r="J274" s="197"/>
      <c r="K274" s="197"/>
      <c r="L274" s="197"/>
      <c r="M274" s="197"/>
      <c r="N274" s="197"/>
      <c r="O274" s="197"/>
    </row>
    <row r="275" spans="2:15" ht="12.75">
      <c r="B275" s="197"/>
      <c r="C275" s="197"/>
      <c r="D275" s="197"/>
      <c r="E275" s="197"/>
      <c r="F275" s="197"/>
      <c r="G275" s="197"/>
      <c r="H275" s="197"/>
      <c r="I275" s="197"/>
      <c r="J275" s="197"/>
      <c r="K275" s="197"/>
      <c r="L275" s="197"/>
      <c r="M275" s="197"/>
      <c r="N275" s="197"/>
      <c r="O275" s="197"/>
    </row>
    <row r="276" spans="2:15" ht="12.75">
      <c r="B276" s="197"/>
      <c r="C276" s="197"/>
      <c r="D276" s="197"/>
      <c r="E276" s="197"/>
      <c r="F276" s="197"/>
      <c r="G276" s="197"/>
      <c r="H276" s="197"/>
      <c r="I276" s="197"/>
      <c r="J276" s="197"/>
      <c r="K276" s="197"/>
      <c r="L276" s="197"/>
      <c r="M276" s="197"/>
      <c r="N276" s="197"/>
      <c r="O276" s="197"/>
    </row>
    <row r="277" spans="2:15" ht="12.75">
      <c r="B277" s="197"/>
      <c r="C277" s="197"/>
      <c r="D277" s="197"/>
      <c r="E277" s="197"/>
      <c r="F277" s="197"/>
      <c r="G277" s="197"/>
      <c r="H277" s="197"/>
      <c r="I277" s="197"/>
      <c r="J277" s="197"/>
      <c r="K277" s="197"/>
      <c r="L277" s="197"/>
      <c r="M277" s="197"/>
      <c r="N277" s="197"/>
      <c r="O277" s="197"/>
    </row>
    <row r="278" spans="2:15" ht="12.75">
      <c r="B278" s="197"/>
      <c r="C278" s="197"/>
      <c r="D278" s="197"/>
      <c r="E278" s="197"/>
      <c r="F278" s="197"/>
      <c r="G278" s="197"/>
      <c r="H278" s="197"/>
      <c r="I278" s="197"/>
      <c r="J278" s="197"/>
      <c r="K278" s="197"/>
      <c r="L278" s="197"/>
      <c r="M278" s="197"/>
      <c r="N278" s="197"/>
      <c r="O278" s="197"/>
    </row>
    <row r="279" spans="2:15" ht="12.75">
      <c r="B279" s="197"/>
      <c r="C279" s="197"/>
      <c r="D279" s="197"/>
      <c r="E279" s="197"/>
      <c r="F279" s="197"/>
      <c r="G279" s="197"/>
      <c r="H279" s="197"/>
      <c r="I279" s="197"/>
      <c r="J279" s="197"/>
      <c r="K279" s="197"/>
      <c r="L279" s="197"/>
      <c r="M279" s="197"/>
      <c r="N279" s="197"/>
      <c r="O279" s="197"/>
    </row>
    <row r="280" spans="2:15" ht="12.75">
      <c r="B280" s="197"/>
      <c r="C280" s="197"/>
      <c r="D280" s="197"/>
      <c r="E280" s="197"/>
      <c r="F280" s="197"/>
      <c r="G280" s="197"/>
      <c r="H280" s="197"/>
      <c r="I280" s="197"/>
      <c r="J280" s="197"/>
      <c r="K280" s="197"/>
      <c r="L280" s="197"/>
      <c r="M280" s="197"/>
      <c r="N280" s="197"/>
      <c r="O280" s="197"/>
    </row>
    <row r="281" spans="2:15" ht="12.75">
      <c r="B281" s="197"/>
      <c r="C281" s="197"/>
      <c r="D281" s="197"/>
      <c r="E281" s="197"/>
      <c r="F281" s="197"/>
      <c r="G281" s="197"/>
      <c r="H281" s="197"/>
      <c r="I281" s="197"/>
      <c r="J281" s="197"/>
      <c r="K281" s="197"/>
      <c r="L281" s="197"/>
      <c r="M281" s="197"/>
      <c r="N281" s="197"/>
      <c r="O281" s="197"/>
    </row>
    <row r="282" spans="2:15" ht="12.75">
      <c r="B282" s="197"/>
      <c r="C282" s="197"/>
      <c r="D282" s="197"/>
      <c r="E282" s="197"/>
      <c r="F282" s="197"/>
      <c r="G282" s="197"/>
      <c r="H282" s="197"/>
      <c r="I282" s="197"/>
      <c r="J282" s="197"/>
      <c r="K282" s="197"/>
      <c r="L282" s="197"/>
      <c r="M282" s="197"/>
      <c r="N282" s="197"/>
      <c r="O282" s="197"/>
    </row>
    <row r="283" spans="2:15" ht="12.75">
      <c r="B283" s="197"/>
      <c r="C283" s="197"/>
      <c r="D283" s="197"/>
      <c r="E283" s="197"/>
      <c r="F283" s="197"/>
      <c r="G283" s="197"/>
      <c r="H283" s="197"/>
      <c r="I283" s="197"/>
      <c r="J283" s="197"/>
      <c r="K283" s="197"/>
      <c r="L283" s="197"/>
      <c r="M283" s="197"/>
      <c r="N283" s="197"/>
      <c r="O283" s="197"/>
    </row>
    <row r="284" spans="2:15" ht="12.75">
      <c r="B284" s="197"/>
      <c r="C284" s="197"/>
      <c r="D284" s="197"/>
      <c r="E284" s="197"/>
      <c r="F284" s="197"/>
      <c r="G284" s="197"/>
      <c r="H284" s="197"/>
      <c r="I284" s="197"/>
      <c r="J284" s="197"/>
      <c r="K284" s="197"/>
      <c r="L284" s="197"/>
      <c r="M284" s="197"/>
      <c r="N284" s="197"/>
      <c r="O284" s="197"/>
    </row>
    <row r="285" spans="2:15" ht="12.75">
      <c r="B285" s="197"/>
      <c r="C285" s="197"/>
      <c r="D285" s="197"/>
      <c r="E285" s="197"/>
      <c r="F285" s="197"/>
      <c r="G285" s="197"/>
      <c r="H285" s="197"/>
      <c r="I285" s="197"/>
      <c r="J285" s="197"/>
      <c r="K285" s="197"/>
      <c r="L285" s="197"/>
      <c r="M285" s="197"/>
      <c r="N285" s="197"/>
      <c r="O285" s="197"/>
    </row>
    <row r="286" spans="2:15" ht="12.75">
      <c r="B286" s="197"/>
      <c r="C286" s="197"/>
      <c r="D286" s="197"/>
      <c r="E286" s="197"/>
      <c r="F286" s="197"/>
      <c r="G286" s="197"/>
      <c r="H286" s="197"/>
      <c r="I286" s="197"/>
      <c r="J286" s="197"/>
      <c r="K286" s="197"/>
      <c r="L286" s="197"/>
      <c r="M286" s="197"/>
      <c r="N286" s="197"/>
      <c r="O286" s="197"/>
    </row>
    <row r="287" spans="2:15" ht="12.75">
      <c r="B287" s="197"/>
      <c r="C287" s="197"/>
      <c r="D287" s="197"/>
      <c r="E287" s="197"/>
      <c r="F287" s="197"/>
      <c r="G287" s="197"/>
      <c r="H287" s="197"/>
      <c r="I287" s="197"/>
      <c r="J287" s="197"/>
      <c r="K287" s="197"/>
      <c r="L287" s="197"/>
      <c r="M287" s="197"/>
      <c r="N287" s="197"/>
      <c r="O287" s="197"/>
    </row>
    <row r="288" spans="2:15" ht="12.75">
      <c r="B288" s="197"/>
      <c r="C288" s="197"/>
      <c r="D288" s="197"/>
      <c r="E288" s="197"/>
      <c r="F288" s="197"/>
      <c r="G288" s="197"/>
      <c r="H288" s="197"/>
      <c r="I288" s="197"/>
      <c r="J288" s="197"/>
      <c r="K288" s="197"/>
      <c r="L288" s="197"/>
      <c r="M288" s="197"/>
      <c r="N288" s="197"/>
      <c r="O288" s="197"/>
    </row>
    <row r="289" spans="2:15" ht="12.75">
      <c r="B289" s="197"/>
      <c r="C289" s="197"/>
      <c r="D289" s="197"/>
      <c r="E289" s="197"/>
      <c r="F289" s="197"/>
      <c r="G289" s="197"/>
      <c r="H289" s="197"/>
      <c r="I289" s="197"/>
      <c r="J289" s="197"/>
      <c r="K289" s="197"/>
      <c r="L289" s="197"/>
      <c r="M289" s="197"/>
      <c r="N289" s="197"/>
      <c r="O289" s="197"/>
    </row>
    <row r="290" spans="2:15" ht="12.75">
      <c r="B290" s="197"/>
      <c r="C290" s="197"/>
      <c r="D290" s="197"/>
      <c r="E290" s="197"/>
      <c r="F290" s="197"/>
      <c r="G290" s="197"/>
      <c r="H290" s="197"/>
      <c r="I290" s="197"/>
      <c r="J290" s="197"/>
      <c r="K290" s="197"/>
      <c r="L290" s="197"/>
      <c r="M290" s="197"/>
      <c r="N290" s="197"/>
      <c r="O290" s="197"/>
    </row>
    <row r="291" spans="2:15" ht="12.75">
      <c r="B291" s="197"/>
      <c r="C291" s="197"/>
      <c r="D291" s="197"/>
      <c r="E291" s="197"/>
      <c r="F291" s="197"/>
      <c r="G291" s="197"/>
      <c r="H291" s="197"/>
      <c r="I291" s="197"/>
      <c r="J291" s="197"/>
      <c r="K291" s="197"/>
      <c r="L291" s="197"/>
      <c r="M291" s="197"/>
      <c r="N291" s="197"/>
      <c r="O291" s="197"/>
    </row>
    <row r="292" spans="2:15" ht="12.75">
      <c r="B292" s="197"/>
      <c r="C292" s="197"/>
      <c r="D292" s="197"/>
      <c r="E292" s="197"/>
      <c r="F292" s="197"/>
      <c r="G292" s="197"/>
      <c r="H292" s="197"/>
      <c r="I292" s="197"/>
      <c r="J292" s="197"/>
      <c r="K292" s="197"/>
      <c r="L292" s="197"/>
      <c r="M292" s="197"/>
      <c r="N292" s="197"/>
      <c r="O292" s="197"/>
    </row>
    <row r="293" spans="2:15" ht="12.75">
      <c r="B293" s="197"/>
      <c r="C293" s="197"/>
      <c r="D293" s="197"/>
      <c r="E293" s="197"/>
      <c r="F293" s="197"/>
      <c r="G293" s="197"/>
      <c r="H293" s="197"/>
      <c r="I293" s="197"/>
      <c r="J293" s="197"/>
      <c r="K293" s="197"/>
      <c r="L293" s="197"/>
      <c r="M293" s="197"/>
      <c r="N293" s="197"/>
      <c r="O293" s="197"/>
    </row>
    <row r="294" spans="2:15" ht="12.75">
      <c r="B294" s="197"/>
      <c r="C294" s="197"/>
      <c r="D294" s="197"/>
      <c r="E294" s="197"/>
      <c r="F294" s="197"/>
      <c r="G294" s="197"/>
      <c r="H294" s="197"/>
      <c r="I294" s="197"/>
      <c r="J294" s="197"/>
      <c r="K294" s="197"/>
      <c r="L294" s="197"/>
      <c r="M294" s="197"/>
      <c r="N294" s="197"/>
      <c r="O294" s="197"/>
    </row>
    <row r="295" spans="2:15" ht="12.75">
      <c r="B295" s="197"/>
      <c r="C295" s="197"/>
      <c r="D295" s="197"/>
      <c r="E295" s="197"/>
      <c r="F295" s="197"/>
      <c r="G295" s="197"/>
      <c r="H295" s="197"/>
      <c r="I295" s="197"/>
      <c r="J295" s="197"/>
      <c r="K295" s="197"/>
      <c r="L295" s="197"/>
      <c r="M295" s="197"/>
      <c r="N295" s="197"/>
      <c r="O295" s="197"/>
    </row>
    <row r="296" spans="2:15" ht="12.75">
      <c r="B296" s="197"/>
      <c r="C296" s="197"/>
      <c r="D296" s="197"/>
      <c r="E296" s="197"/>
      <c r="F296" s="197"/>
      <c r="G296" s="197"/>
      <c r="H296" s="197"/>
      <c r="I296" s="197"/>
      <c r="J296" s="197"/>
      <c r="K296" s="197"/>
      <c r="L296" s="197"/>
      <c r="M296" s="197"/>
      <c r="N296" s="197"/>
      <c r="O296" s="197"/>
    </row>
    <row r="297" spans="2:15" ht="12.75">
      <c r="B297" s="197"/>
      <c r="C297" s="197"/>
      <c r="D297" s="197"/>
      <c r="E297" s="197"/>
      <c r="F297" s="197"/>
      <c r="G297" s="197"/>
      <c r="H297" s="197"/>
      <c r="I297" s="197"/>
      <c r="J297" s="197"/>
      <c r="K297" s="197"/>
      <c r="L297" s="197"/>
      <c r="M297" s="197"/>
      <c r="N297" s="197"/>
      <c r="O297" s="197"/>
    </row>
    <row r="298" spans="2:15" ht="12.75">
      <c r="B298" s="197"/>
      <c r="C298" s="197"/>
      <c r="D298" s="197"/>
      <c r="E298" s="197"/>
      <c r="F298" s="197"/>
      <c r="G298" s="197"/>
      <c r="H298" s="197"/>
      <c r="I298" s="197"/>
      <c r="J298" s="197"/>
      <c r="K298" s="197"/>
      <c r="L298" s="197"/>
      <c r="M298" s="197"/>
      <c r="N298" s="197"/>
      <c r="O298" s="197"/>
    </row>
    <row r="299" spans="2:15" ht="12.75">
      <c r="B299" s="197"/>
      <c r="C299" s="197"/>
      <c r="D299" s="197"/>
      <c r="E299" s="197"/>
      <c r="F299" s="197"/>
      <c r="G299" s="197"/>
      <c r="H299" s="197"/>
      <c r="I299" s="197"/>
      <c r="J299" s="197"/>
      <c r="K299" s="197"/>
      <c r="L299" s="197"/>
      <c r="M299" s="197"/>
      <c r="N299" s="197"/>
      <c r="O299" s="197"/>
    </row>
    <row r="300" spans="2:15" ht="12.75">
      <c r="B300" s="197"/>
      <c r="C300" s="197"/>
      <c r="D300" s="197"/>
      <c r="E300" s="197"/>
      <c r="F300" s="197"/>
      <c r="G300" s="197"/>
      <c r="H300" s="197"/>
      <c r="I300" s="197"/>
      <c r="J300" s="197"/>
      <c r="K300" s="197"/>
      <c r="L300" s="197"/>
      <c r="M300" s="197"/>
      <c r="N300" s="197"/>
      <c r="O300" s="197"/>
    </row>
    <row r="301" spans="2:15" ht="12.75">
      <c r="B301" s="197"/>
      <c r="C301" s="197"/>
      <c r="D301" s="197"/>
      <c r="E301" s="197"/>
      <c r="F301" s="197"/>
      <c r="G301" s="197"/>
      <c r="H301" s="197"/>
      <c r="I301" s="197"/>
      <c r="J301" s="197"/>
      <c r="K301" s="197"/>
      <c r="L301" s="197"/>
      <c r="M301" s="197"/>
      <c r="N301" s="197"/>
      <c r="O301" s="197"/>
    </row>
    <row r="302" spans="2:15" ht="12.75">
      <c r="B302" s="197"/>
      <c r="C302" s="197"/>
      <c r="D302" s="197"/>
      <c r="E302" s="197"/>
      <c r="F302" s="197"/>
      <c r="G302" s="197"/>
      <c r="H302" s="197"/>
      <c r="I302" s="197"/>
      <c r="J302" s="197"/>
      <c r="K302" s="197"/>
      <c r="L302" s="197"/>
      <c r="M302" s="197"/>
      <c r="N302" s="197"/>
      <c r="O302" s="197"/>
    </row>
    <row r="303" spans="2:15" ht="12.75">
      <c r="B303" s="197"/>
      <c r="C303" s="197"/>
      <c r="D303" s="197"/>
      <c r="E303" s="197"/>
      <c r="F303" s="197"/>
      <c r="G303" s="197"/>
      <c r="H303" s="197"/>
      <c r="I303" s="197"/>
      <c r="J303" s="197"/>
      <c r="K303" s="197"/>
      <c r="L303" s="197"/>
      <c r="M303" s="197"/>
      <c r="N303" s="197"/>
      <c r="O303" s="197"/>
    </row>
    <row r="304" spans="2:15" ht="12.75">
      <c r="B304" s="197"/>
      <c r="C304" s="197"/>
      <c r="D304" s="197"/>
      <c r="E304" s="197"/>
      <c r="F304" s="197"/>
      <c r="G304" s="197"/>
      <c r="H304" s="197"/>
      <c r="I304" s="197"/>
      <c r="J304" s="197"/>
      <c r="K304" s="197"/>
      <c r="L304" s="197"/>
      <c r="M304" s="197"/>
      <c r="N304" s="197"/>
      <c r="O304" s="197"/>
    </row>
    <row r="305" spans="2:15" ht="12.75">
      <c r="B305" s="197"/>
      <c r="C305" s="197"/>
      <c r="D305" s="197"/>
      <c r="E305" s="197"/>
      <c r="F305" s="197"/>
      <c r="G305" s="197"/>
      <c r="H305" s="197"/>
      <c r="I305" s="197"/>
      <c r="J305" s="197"/>
      <c r="K305" s="197"/>
      <c r="L305" s="197"/>
      <c r="M305" s="197"/>
      <c r="N305" s="197"/>
      <c r="O305" s="197"/>
    </row>
    <row r="306" spans="2:15" ht="12.75">
      <c r="B306" s="197"/>
      <c r="C306" s="197"/>
      <c r="D306" s="197"/>
      <c r="E306" s="197"/>
      <c r="F306" s="197"/>
      <c r="G306" s="197"/>
      <c r="H306" s="197"/>
      <c r="I306" s="197"/>
      <c r="J306" s="197"/>
      <c r="K306" s="197"/>
      <c r="L306" s="197"/>
      <c r="M306" s="197"/>
      <c r="N306" s="197"/>
      <c r="O306" s="197"/>
    </row>
    <row r="307" spans="2:15" ht="12.75">
      <c r="B307" s="197"/>
      <c r="C307" s="197"/>
      <c r="D307" s="197"/>
      <c r="E307" s="197"/>
      <c r="F307" s="197"/>
      <c r="G307" s="197"/>
      <c r="H307" s="197"/>
      <c r="I307" s="197"/>
      <c r="J307" s="197"/>
      <c r="K307" s="197"/>
      <c r="L307" s="197"/>
      <c r="M307" s="197"/>
      <c r="N307" s="197"/>
      <c r="O307" s="197"/>
    </row>
    <row r="308" spans="2:15" ht="12.75">
      <c r="B308" s="197"/>
      <c r="C308" s="197"/>
      <c r="D308" s="197"/>
      <c r="E308" s="197"/>
      <c r="F308" s="197"/>
      <c r="G308" s="197"/>
      <c r="H308" s="197"/>
      <c r="I308" s="197"/>
      <c r="J308" s="197"/>
      <c r="K308" s="197"/>
      <c r="L308" s="197"/>
      <c r="M308" s="197"/>
      <c r="N308" s="197"/>
      <c r="O308" s="197"/>
    </row>
    <row r="309" spans="2:15" ht="12.75">
      <c r="B309" s="197"/>
      <c r="C309" s="197"/>
      <c r="D309" s="197"/>
      <c r="E309" s="197"/>
      <c r="F309" s="197"/>
      <c r="G309" s="197"/>
      <c r="H309" s="197"/>
      <c r="I309" s="197"/>
      <c r="J309" s="197"/>
      <c r="K309" s="197"/>
      <c r="L309" s="197"/>
      <c r="M309" s="197"/>
      <c r="N309" s="197"/>
      <c r="O309" s="197"/>
    </row>
    <row r="310" spans="2:15" ht="12.75">
      <c r="B310" s="197"/>
      <c r="C310" s="197"/>
      <c r="D310" s="197"/>
      <c r="E310" s="197"/>
      <c r="F310" s="197"/>
      <c r="G310" s="197"/>
      <c r="H310" s="197"/>
      <c r="I310" s="197"/>
      <c r="J310" s="197"/>
      <c r="K310" s="197"/>
      <c r="L310" s="197"/>
      <c r="M310" s="197"/>
      <c r="N310" s="197"/>
      <c r="O310" s="197"/>
    </row>
    <row r="311" spans="2:15" ht="12.75">
      <c r="B311" s="197"/>
      <c r="C311" s="197"/>
      <c r="D311" s="197"/>
      <c r="E311" s="197"/>
      <c r="F311" s="197"/>
      <c r="G311" s="197"/>
      <c r="H311" s="197"/>
      <c r="I311" s="197"/>
      <c r="J311" s="197"/>
      <c r="K311" s="197"/>
      <c r="L311" s="197"/>
      <c r="M311" s="197"/>
      <c r="N311" s="197"/>
      <c r="O311" s="197"/>
    </row>
    <row r="312" spans="2:15" ht="12.75">
      <c r="B312" s="197"/>
      <c r="C312" s="197"/>
      <c r="D312" s="197"/>
      <c r="E312" s="197"/>
      <c r="F312" s="197"/>
      <c r="G312" s="197"/>
      <c r="H312" s="197"/>
      <c r="I312" s="197"/>
      <c r="J312" s="197"/>
      <c r="K312" s="197"/>
      <c r="L312" s="197"/>
      <c r="M312" s="197"/>
      <c r="N312" s="197"/>
      <c r="O312" s="197"/>
    </row>
    <row r="313" spans="2:15" ht="12.75">
      <c r="B313" s="197"/>
      <c r="C313" s="197"/>
      <c r="D313" s="197"/>
      <c r="E313" s="197"/>
      <c r="F313" s="197"/>
      <c r="G313" s="197"/>
      <c r="H313" s="197"/>
      <c r="I313" s="197"/>
      <c r="J313" s="197"/>
      <c r="K313" s="197"/>
      <c r="L313" s="197"/>
      <c r="M313" s="197"/>
      <c r="N313" s="197"/>
      <c r="O313" s="197"/>
    </row>
    <row r="314" spans="2:15" ht="12.75">
      <c r="B314" s="197"/>
      <c r="C314" s="197"/>
      <c r="D314" s="197"/>
      <c r="E314" s="197"/>
      <c r="F314" s="197"/>
      <c r="G314" s="197"/>
      <c r="H314" s="197"/>
      <c r="I314" s="197"/>
      <c r="J314" s="197"/>
      <c r="K314" s="197"/>
      <c r="L314" s="197"/>
      <c r="M314" s="197"/>
      <c r="N314" s="197"/>
      <c r="O314" s="197"/>
    </row>
    <row r="315" spans="2:15" ht="12.75">
      <c r="B315" s="197"/>
      <c r="C315" s="197"/>
      <c r="D315" s="197"/>
      <c r="E315" s="197"/>
      <c r="F315" s="197"/>
      <c r="G315" s="197"/>
      <c r="H315" s="197"/>
      <c r="I315" s="197"/>
      <c r="J315" s="197"/>
      <c r="K315" s="197"/>
      <c r="L315" s="197"/>
      <c r="M315" s="197"/>
      <c r="N315" s="197"/>
      <c r="O315" s="197"/>
    </row>
    <row r="316" spans="2:15" ht="12.75">
      <c r="B316" s="197"/>
      <c r="C316" s="197"/>
      <c r="D316" s="197"/>
      <c r="E316" s="197"/>
      <c r="F316" s="197"/>
      <c r="G316" s="197"/>
      <c r="H316" s="197"/>
      <c r="I316" s="197"/>
      <c r="J316" s="197"/>
      <c r="K316" s="197"/>
      <c r="L316" s="197"/>
      <c r="M316" s="197"/>
      <c r="N316" s="197"/>
      <c r="O316" s="197"/>
    </row>
    <row r="317" spans="2:15" ht="12.75">
      <c r="B317" s="197"/>
      <c r="C317" s="197"/>
      <c r="D317" s="197"/>
      <c r="E317" s="197"/>
      <c r="F317" s="197"/>
      <c r="G317" s="197"/>
      <c r="H317" s="197"/>
      <c r="I317" s="197"/>
      <c r="J317" s="197"/>
      <c r="K317" s="197"/>
      <c r="L317" s="197"/>
      <c r="M317" s="197"/>
      <c r="N317" s="197"/>
      <c r="O317" s="197"/>
    </row>
    <row r="318" spans="2:15" ht="12.75">
      <c r="B318" s="197"/>
      <c r="C318" s="197"/>
      <c r="D318" s="197"/>
      <c r="E318" s="197"/>
      <c r="F318" s="197"/>
      <c r="G318" s="197"/>
      <c r="H318" s="197"/>
      <c r="I318" s="197"/>
      <c r="J318" s="197"/>
      <c r="K318" s="197"/>
      <c r="L318" s="197"/>
      <c r="M318" s="197"/>
      <c r="N318" s="197"/>
      <c r="O318" s="197"/>
    </row>
    <row r="319" spans="2:15" ht="12.75">
      <c r="B319" s="197"/>
      <c r="C319" s="197"/>
      <c r="D319" s="197"/>
      <c r="E319" s="197"/>
      <c r="F319" s="197"/>
      <c r="G319" s="197"/>
      <c r="H319" s="197"/>
      <c r="I319" s="197"/>
      <c r="J319" s="197"/>
      <c r="K319" s="197"/>
      <c r="L319" s="197"/>
      <c r="M319" s="197"/>
      <c r="N319" s="197"/>
      <c r="O319" s="197"/>
    </row>
    <row r="320" spans="2:15" ht="12.75">
      <c r="B320" s="197"/>
      <c r="C320" s="197"/>
      <c r="D320" s="197"/>
      <c r="E320" s="197"/>
      <c r="F320" s="197"/>
      <c r="G320" s="197"/>
      <c r="H320" s="197"/>
      <c r="I320" s="197"/>
      <c r="J320" s="197"/>
      <c r="K320" s="197"/>
      <c r="L320" s="197"/>
      <c r="M320" s="197"/>
      <c r="N320" s="197"/>
      <c r="O320" s="197"/>
    </row>
    <row r="321" spans="2:15" ht="12.75">
      <c r="B321" s="197"/>
      <c r="C321" s="197"/>
      <c r="D321" s="197"/>
      <c r="E321" s="197"/>
      <c r="F321" s="197"/>
      <c r="G321" s="197"/>
      <c r="H321" s="197"/>
      <c r="I321" s="197"/>
      <c r="J321" s="197"/>
      <c r="K321" s="197"/>
      <c r="L321" s="197"/>
      <c r="M321" s="197"/>
      <c r="N321" s="197"/>
      <c r="O321" s="197"/>
    </row>
    <row r="322" spans="2:15" ht="12.75">
      <c r="B322" s="197"/>
      <c r="C322" s="197"/>
      <c r="D322" s="197"/>
      <c r="E322" s="197"/>
      <c r="F322" s="197"/>
      <c r="G322" s="197"/>
      <c r="H322" s="197"/>
      <c r="I322" s="197"/>
      <c r="J322" s="197"/>
      <c r="K322" s="197"/>
      <c r="L322" s="197"/>
      <c r="M322" s="197"/>
      <c r="N322" s="197"/>
      <c r="O322" s="197"/>
    </row>
    <row r="323" spans="2:15" ht="12.75">
      <c r="B323" s="197"/>
      <c r="C323" s="197"/>
      <c r="D323" s="197"/>
      <c r="E323" s="197"/>
      <c r="F323" s="197"/>
      <c r="G323" s="197"/>
      <c r="H323" s="197"/>
      <c r="I323" s="197"/>
      <c r="J323" s="197"/>
      <c r="K323" s="197"/>
      <c r="L323" s="197"/>
      <c r="M323" s="197"/>
      <c r="N323" s="197"/>
      <c r="O323" s="197"/>
    </row>
    <row r="324" spans="2:15" ht="12.75">
      <c r="B324" s="197"/>
      <c r="C324" s="197"/>
      <c r="D324" s="197"/>
      <c r="E324" s="197"/>
      <c r="F324" s="197"/>
      <c r="G324" s="197"/>
      <c r="H324" s="197"/>
      <c r="I324" s="197"/>
      <c r="J324" s="197"/>
      <c r="K324" s="197"/>
      <c r="L324" s="197"/>
      <c r="M324" s="197"/>
      <c r="N324" s="197"/>
      <c r="O324" s="197"/>
    </row>
    <row r="325" spans="2:15" ht="12.75">
      <c r="B325" s="197"/>
      <c r="C325" s="197"/>
      <c r="D325" s="197"/>
      <c r="E325" s="197"/>
      <c r="F325" s="197"/>
      <c r="G325" s="197"/>
      <c r="H325" s="197"/>
      <c r="I325" s="197"/>
      <c r="J325" s="197"/>
      <c r="K325" s="197"/>
      <c r="L325" s="197"/>
      <c r="M325" s="197"/>
      <c r="N325" s="197"/>
      <c r="O325" s="197"/>
    </row>
    <row r="326" spans="2:15" ht="12.75">
      <c r="B326" s="197"/>
      <c r="C326" s="197"/>
      <c r="D326" s="197"/>
      <c r="E326" s="197"/>
      <c r="F326" s="197"/>
      <c r="G326" s="197"/>
      <c r="H326" s="197"/>
      <c r="I326" s="197"/>
      <c r="J326" s="197"/>
      <c r="K326" s="197"/>
      <c r="L326" s="197"/>
      <c r="M326" s="197"/>
      <c r="N326" s="197"/>
      <c r="O326" s="197"/>
    </row>
    <row r="327" spans="2:15" ht="12.75">
      <c r="B327" s="197"/>
      <c r="C327" s="197"/>
      <c r="D327" s="197"/>
      <c r="E327" s="197"/>
      <c r="F327" s="197"/>
      <c r="G327" s="197"/>
      <c r="H327" s="197"/>
      <c r="I327" s="197"/>
      <c r="J327" s="197"/>
      <c r="K327" s="197"/>
      <c r="L327" s="197"/>
      <c r="M327" s="197"/>
      <c r="N327" s="197"/>
      <c r="O327" s="197"/>
    </row>
    <row r="328" spans="2:15" ht="12.75">
      <c r="B328" s="197"/>
      <c r="C328" s="197"/>
      <c r="D328" s="197"/>
      <c r="E328" s="197"/>
      <c r="F328" s="197"/>
      <c r="G328" s="197"/>
      <c r="H328" s="197"/>
      <c r="I328" s="197"/>
      <c r="J328" s="197"/>
      <c r="K328" s="197"/>
      <c r="L328" s="197"/>
      <c r="M328" s="197"/>
      <c r="N328" s="197"/>
      <c r="O328" s="197"/>
    </row>
    <row r="329" spans="2:15" ht="12.75">
      <c r="B329" s="197"/>
      <c r="C329" s="197"/>
      <c r="D329" s="197"/>
      <c r="E329" s="197"/>
      <c r="F329" s="197"/>
      <c r="G329" s="197"/>
      <c r="H329" s="197"/>
      <c r="I329" s="197"/>
      <c r="J329" s="197"/>
      <c r="K329" s="197"/>
      <c r="L329" s="197"/>
      <c r="M329" s="197"/>
      <c r="N329" s="197"/>
      <c r="O329" s="197"/>
    </row>
    <row r="330" spans="2:15" ht="12.75">
      <c r="B330" s="197"/>
      <c r="C330" s="197"/>
      <c r="D330" s="197"/>
      <c r="E330" s="197"/>
      <c r="F330" s="197"/>
      <c r="G330" s="197"/>
      <c r="H330" s="197"/>
      <c r="I330" s="197"/>
      <c r="J330" s="197"/>
      <c r="K330" s="197"/>
      <c r="L330" s="197"/>
      <c r="M330" s="197"/>
      <c r="N330" s="197"/>
      <c r="O330" s="197"/>
    </row>
    <row r="331" spans="2:15" ht="12.75">
      <c r="B331" s="197"/>
      <c r="C331" s="197"/>
      <c r="D331" s="197"/>
      <c r="E331" s="197"/>
      <c r="F331" s="197"/>
      <c r="G331" s="197"/>
      <c r="H331" s="197"/>
      <c r="I331" s="197"/>
      <c r="J331" s="197"/>
      <c r="K331" s="197"/>
      <c r="L331" s="197"/>
      <c r="M331" s="197"/>
      <c r="N331" s="197"/>
      <c r="O331" s="197"/>
    </row>
    <row r="332" spans="2:15" ht="12.75">
      <c r="B332" s="197"/>
      <c r="C332" s="197"/>
      <c r="D332" s="197"/>
      <c r="E332" s="197"/>
      <c r="F332" s="197"/>
      <c r="G332" s="197"/>
      <c r="H332" s="197"/>
      <c r="I332" s="197"/>
      <c r="J332" s="197"/>
      <c r="K332" s="197"/>
      <c r="L332" s="197"/>
      <c r="M332" s="197"/>
      <c r="N332" s="197"/>
      <c r="O332" s="197"/>
    </row>
    <row r="333" spans="2:15" ht="12.75">
      <c r="B333" s="197"/>
      <c r="C333" s="197"/>
      <c r="D333" s="197"/>
      <c r="E333" s="197"/>
      <c r="F333" s="197"/>
      <c r="G333" s="197"/>
      <c r="H333" s="197"/>
      <c r="I333" s="197"/>
      <c r="J333" s="197"/>
      <c r="K333" s="197"/>
      <c r="L333" s="197"/>
      <c r="M333" s="197"/>
      <c r="N333" s="197"/>
      <c r="O333" s="197"/>
    </row>
    <row r="334" spans="2:15" ht="12.75">
      <c r="B334" s="197"/>
      <c r="C334" s="197"/>
      <c r="D334" s="197"/>
      <c r="E334" s="197"/>
      <c r="F334" s="197"/>
      <c r="G334" s="197"/>
      <c r="H334" s="197"/>
      <c r="I334" s="197"/>
      <c r="J334" s="197"/>
      <c r="K334" s="197"/>
      <c r="L334" s="197"/>
      <c r="M334" s="197"/>
      <c r="N334" s="197"/>
      <c r="O334" s="197"/>
    </row>
    <row r="335" spans="2:15" ht="12.75">
      <c r="B335" s="197"/>
      <c r="C335" s="197"/>
      <c r="D335" s="197"/>
      <c r="E335" s="197"/>
      <c r="F335" s="197"/>
      <c r="G335" s="197"/>
      <c r="H335" s="197"/>
      <c r="I335" s="197"/>
      <c r="J335" s="197"/>
      <c r="K335" s="197"/>
      <c r="L335" s="197"/>
      <c r="M335" s="197"/>
      <c r="N335" s="197"/>
      <c r="O335" s="197"/>
    </row>
    <row r="336" spans="2:15" ht="12.75">
      <c r="B336" s="197"/>
      <c r="C336" s="197"/>
      <c r="D336" s="197"/>
      <c r="E336" s="197"/>
      <c r="F336" s="197"/>
      <c r="G336" s="197"/>
      <c r="H336" s="197"/>
      <c r="I336" s="197"/>
      <c r="J336" s="197"/>
      <c r="K336" s="197"/>
      <c r="L336" s="197"/>
      <c r="M336" s="197"/>
      <c r="N336" s="197"/>
      <c r="O336" s="197"/>
    </row>
    <row r="337" spans="2:15" ht="12.75">
      <c r="B337" s="197"/>
      <c r="C337" s="197"/>
      <c r="D337" s="197"/>
      <c r="E337" s="197"/>
      <c r="F337" s="197"/>
      <c r="G337" s="197"/>
      <c r="H337" s="197"/>
      <c r="I337" s="197"/>
      <c r="J337" s="197"/>
      <c r="K337" s="197"/>
      <c r="L337" s="197"/>
      <c r="M337" s="197"/>
      <c r="N337" s="197"/>
      <c r="O337" s="197"/>
    </row>
    <row r="338" spans="2:15" ht="12.75">
      <c r="B338" s="197"/>
      <c r="C338" s="197"/>
      <c r="D338" s="197"/>
      <c r="E338" s="197"/>
      <c r="F338" s="197"/>
      <c r="G338" s="197"/>
      <c r="H338" s="197"/>
      <c r="I338" s="197"/>
      <c r="J338" s="197"/>
      <c r="K338" s="197"/>
      <c r="L338" s="197"/>
      <c r="M338" s="197"/>
      <c r="N338" s="197"/>
      <c r="O338" s="197"/>
    </row>
    <row r="339" spans="2:15" ht="12.75">
      <c r="B339" s="197"/>
      <c r="C339" s="197"/>
      <c r="D339" s="197"/>
      <c r="E339" s="197"/>
      <c r="F339" s="197"/>
      <c r="G339" s="197"/>
      <c r="H339" s="197"/>
      <c r="I339" s="197"/>
      <c r="J339" s="197"/>
      <c r="K339" s="197"/>
      <c r="L339" s="197"/>
      <c r="M339" s="197"/>
      <c r="N339" s="197"/>
      <c r="O339" s="197"/>
    </row>
    <row r="340" spans="2:15" ht="12.75">
      <c r="B340" s="197"/>
      <c r="C340" s="197"/>
      <c r="D340" s="197"/>
      <c r="E340" s="197"/>
      <c r="F340" s="197"/>
      <c r="G340" s="197"/>
      <c r="H340" s="197"/>
      <c r="I340" s="197"/>
      <c r="J340" s="197"/>
      <c r="K340" s="197"/>
      <c r="L340" s="197"/>
      <c r="M340" s="197"/>
      <c r="N340" s="197"/>
      <c r="O340" s="197"/>
    </row>
    <row r="341" spans="2:15" ht="12.75">
      <c r="B341" s="197"/>
      <c r="C341" s="197"/>
      <c r="D341" s="197"/>
      <c r="E341" s="197"/>
      <c r="F341" s="197"/>
      <c r="G341" s="197"/>
      <c r="H341" s="197"/>
      <c r="I341" s="197"/>
      <c r="J341" s="197"/>
      <c r="K341" s="197"/>
      <c r="L341" s="197"/>
      <c r="M341" s="197"/>
      <c r="N341" s="197"/>
      <c r="O341" s="197"/>
    </row>
    <row r="342" spans="2:15" ht="12.75">
      <c r="B342" s="197"/>
      <c r="C342" s="197"/>
      <c r="D342" s="197"/>
      <c r="E342" s="197"/>
      <c r="F342" s="197"/>
      <c r="G342" s="197"/>
      <c r="H342" s="197"/>
      <c r="I342" s="197"/>
      <c r="J342" s="197"/>
      <c r="K342" s="197"/>
      <c r="L342" s="197"/>
      <c r="M342" s="197"/>
      <c r="N342" s="197"/>
      <c r="O342" s="197"/>
    </row>
    <row r="343" spans="2:15" ht="12.75">
      <c r="B343" s="197"/>
      <c r="C343" s="197"/>
      <c r="D343" s="197"/>
      <c r="E343" s="197"/>
      <c r="F343" s="197"/>
      <c r="G343" s="197"/>
      <c r="H343" s="197"/>
      <c r="I343" s="197"/>
      <c r="J343" s="197"/>
      <c r="K343" s="197"/>
      <c r="L343" s="197"/>
      <c r="M343" s="197"/>
      <c r="N343" s="197"/>
      <c r="O343" s="197"/>
    </row>
    <row r="344" spans="2:15" ht="12.75">
      <c r="B344" s="197"/>
      <c r="C344" s="197"/>
      <c r="D344" s="197"/>
      <c r="E344" s="197"/>
      <c r="F344" s="197"/>
      <c r="G344" s="197"/>
      <c r="H344" s="197"/>
      <c r="I344" s="197"/>
      <c r="J344" s="197"/>
      <c r="K344" s="197"/>
      <c r="L344" s="197"/>
      <c r="M344" s="197"/>
      <c r="N344" s="197"/>
      <c r="O344" s="197"/>
    </row>
    <row r="345" spans="2:15" ht="12.75">
      <c r="B345" s="197"/>
      <c r="C345" s="197"/>
      <c r="D345" s="197"/>
      <c r="E345" s="197"/>
      <c r="F345" s="197"/>
      <c r="G345" s="197"/>
      <c r="H345" s="197"/>
      <c r="I345" s="197"/>
      <c r="J345" s="197"/>
      <c r="K345" s="197"/>
      <c r="L345" s="197"/>
      <c r="M345" s="197"/>
      <c r="N345" s="197"/>
      <c r="O345" s="197"/>
    </row>
    <row r="346" spans="2:15" ht="12.75">
      <c r="B346" s="197"/>
      <c r="C346" s="197"/>
      <c r="D346" s="197"/>
      <c r="E346" s="197"/>
      <c r="F346" s="197"/>
      <c r="G346" s="197"/>
      <c r="H346" s="197"/>
      <c r="I346" s="197"/>
      <c r="J346" s="197"/>
      <c r="K346" s="197"/>
      <c r="L346" s="197"/>
      <c r="M346" s="197"/>
      <c r="N346" s="197"/>
      <c r="O346" s="197"/>
    </row>
    <row r="347" spans="2:15" ht="12.75">
      <c r="B347" s="197"/>
      <c r="C347" s="197"/>
      <c r="D347" s="197"/>
      <c r="E347" s="197"/>
      <c r="F347" s="197"/>
      <c r="G347" s="197"/>
      <c r="H347" s="197"/>
      <c r="I347" s="197"/>
      <c r="J347" s="197"/>
      <c r="K347" s="197"/>
      <c r="L347" s="197"/>
      <c r="M347" s="197"/>
      <c r="N347" s="197"/>
      <c r="O347" s="197"/>
    </row>
    <row r="348" spans="2:15" ht="12.75">
      <c r="B348" s="197"/>
      <c r="C348" s="197"/>
      <c r="D348" s="197"/>
      <c r="E348" s="197"/>
      <c r="F348" s="197"/>
      <c r="G348" s="197"/>
      <c r="H348" s="197"/>
      <c r="I348" s="197"/>
      <c r="J348" s="197"/>
      <c r="K348" s="197"/>
      <c r="L348" s="197"/>
      <c r="M348" s="197"/>
      <c r="N348" s="197"/>
      <c r="O348" s="197"/>
    </row>
    <row r="349" spans="2:15" ht="12.75">
      <c r="B349" s="197"/>
      <c r="C349" s="197"/>
      <c r="D349" s="197"/>
      <c r="E349" s="197"/>
      <c r="F349" s="197"/>
      <c r="G349" s="197"/>
      <c r="H349" s="197"/>
      <c r="I349" s="197"/>
      <c r="J349" s="197"/>
      <c r="K349" s="197"/>
      <c r="L349" s="197"/>
      <c r="M349" s="197"/>
      <c r="N349" s="197"/>
      <c r="O349" s="197"/>
    </row>
    <row r="350" spans="2:15" ht="12.75">
      <c r="B350" s="197"/>
      <c r="C350" s="197"/>
      <c r="D350" s="197"/>
      <c r="E350" s="197"/>
      <c r="F350" s="197"/>
      <c r="G350" s="197"/>
      <c r="H350" s="197"/>
      <c r="I350" s="197"/>
      <c r="J350" s="197"/>
      <c r="K350" s="197"/>
      <c r="L350" s="197"/>
      <c r="M350" s="197"/>
      <c r="N350" s="197"/>
      <c r="O350" s="197"/>
    </row>
    <row r="351" spans="2:15" ht="12.75">
      <c r="B351" s="197"/>
      <c r="C351" s="197"/>
      <c r="D351" s="197"/>
      <c r="E351" s="197"/>
      <c r="F351" s="197"/>
      <c r="G351" s="197"/>
      <c r="H351" s="197"/>
      <c r="I351" s="197"/>
      <c r="J351" s="197"/>
      <c r="K351" s="197"/>
      <c r="L351" s="197"/>
      <c r="M351" s="197"/>
      <c r="N351" s="197"/>
      <c r="O351" s="197"/>
    </row>
    <row r="352" spans="2:15" ht="12.75">
      <c r="B352" s="197"/>
      <c r="C352" s="197"/>
      <c r="D352" s="197"/>
      <c r="E352" s="197"/>
      <c r="F352" s="197"/>
      <c r="G352" s="197"/>
      <c r="H352" s="197"/>
      <c r="I352" s="197"/>
      <c r="J352" s="197"/>
      <c r="K352" s="197"/>
      <c r="L352" s="197"/>
      <c r="M352" s="197"/>
      <c r="N352" s="197"/>
      <c r="O352" s="197"/>
    </row>
    <row r="353" spans="2:15" ht="12.75">
      <c r="B353" s="197"/>
      <c r="C353" s="197"/>
      <c r="D353" s="197"/>
      <c r="E353" s="197"/>
      <c r="F353" s="197"/>
      <c r="G353" s="197"/>
      <c r="H353" s="197"/>
      <c r="I353" s="197"/>
      <c r="J353" s="197"/>
      <c r="K353" s="197"/>
      <c r="L353" s="197"/>
      <c r="M353" s="197"/>
      <c r="N353" s="197"/>
      <c r="O353" s="197"/>
    </row>
    <row r="354" spans="2:15" ht="12.75">
      <c r="B354" s="197"/>
      <c r="C354" s="197"/>
      <c r="D354" s="197"/>
      <c r="E354" s="197"/>
      <c r="F354" s="197"/>
      <c r="G354" s="197"/>
      <c r="H354" s="197"/>
      <c r="I354" s="197"/>
      <c r="J354" s="197"/>
      <c r="K354" s="197"/>
      <c r="L354" s="197"/>
      <c r="M354" s="197"/>
      <c r="N354" s="197"/>
      <c r="O354" s="197"/>
    </row>
    <row r="355" spans="2:15" ht="12.75">
      <c r="B355" s="197"/>
      <c r="C355" s="197"/>
      <c r="D355" s="197"/>
      <c r="E355" s="197"/>
      <c r="F355" s="197"/>
      <c r="G355" s="197"/>
      <c r="H355" s="197"/>
      <c r="I355" s="197"/>
      <c r="J355" s="197"/>
      <c r="K355" s="197"/>
      <c r="L355" s="197"/>
      <c r="M355" s="197"/>
      <c r="N355" s="197"/>
      <c r="O355" s="197"/>
    </row>
    <row r="356" spans="2:15" ht="12.75">
      <c r="B356" s="197"/>
      <c r="C356" s="197"/>
      <c r="D356" s="197"/>
      <c r="E356" s="197"/>
      <c r="F356" s="197"/>
      <c r="G356" s="197"/>
      <c r="H356" s="197"/>
      <c r="I356" s="197"/>
      <c r="J356" s="197"/>
      <c r="K356" s="197"/>
      <c r="L356" s="197"/>
      <c r="M356" s="197"/>
      <c r="N356" s="197"/>
      <c r="O356" s="197"/>
    </row>
    <row r="357" spans="2:15" ht="12.75">
      <c r="B357" s="197"/>
      <c r="C357" s="197"/>
      <c r="D357" s="197"/>
      <c r="E357" s="197"/>
      <c r="F357" s="197"/>
      <c r="G357" s="197"/>
      <c r="H357" s="197"/>
      <c r="I357" s="197"/>
      <c r="J357" s="197"/>
      <c r="K357" s="197"/>
      <c r="L357" s="197"/>
      <c r="M357" s="197"/>
      <c r="N357" s="197"/>
      <c r="O357" s="197"/>
    </row>
    <row r="358" spans="2:15" ht="12.75">
      <c r="B358" s="197"/>
      <c r="C358" s="197"/>
      <c r="D358" s="197"/>
      <c r="E358" s="197"/>
      <c r="F358" s="197"/>
      <c r="G358" s="197"/>
      <c r="H358" s="197"/>
      <c r="I358" s="197"/>
      <c r="J358" s="197"/>
      <c r="K358" s="197"/>
      <c r="L358" s="197"/>
      <c r="M358" s="197"/>
      <c r="N358" s="197"/>
      <c r="O358" s="197"/>
    </row>
    <row r="359" spans="2:15" ht="12.75">
      <c r="B359" s="197"/>
      <c r="C359" s="197"/>
      <c r="D359" s="197"/>
      <c r="E359" s="197"/>
      <c r="F359" s="197"/>
      <c r="G359" s="197"/>
      <c r="H359" s="197"/>
      <c r="I359" s="197"/>
      <c r="J359" s="197"/>
      <c r="K359" s="197"/>
      <c r="L359" s="197"/>
      <c r="M359" s="197"/>
      <c r="N359" s="197"/>
      <c r="O359" s="197"/>
    </row>
    <row r="360" spans="2:15" ht="12.75">
      <c r="B360" s="197"/>
      <c r="C360" s="197"/>
      <c r="D360" s="197"/>
      <c r="E360" s="197"/>
      <c r="F360" s="197"/>
      <c r="G360" s="197"/>
      <c r="H360" s="197"/>
      <c r="I360" s="197"/>
      <c r="J360" s="197"/>
      <c r="K360" s="197"/>
      <c r="L360" s="197"/>
      <c r="M360" s="197"/>
      <c r="N360" s="197"/>
      <c r="O360" s="197"/>
    </row>
    <row r="361" spans="2:15" ht="12.75">
      <c r="B361" s="197"/>
      <c r="C361" s="197"/>
      <c r="D361" s="197"/>
      <c r="E361" s="197"/>
      <c r="F361" s="197"/>
      <c r="G361" s="197"/>
      <c r="H361" s="197"/>
      <c r="I361" s="197"/>
      <c r="J361" s="197"/>
      <c r="K361" s="197"/>
      <c r="L361" s="197"/>
      <c r="M361" s="197"/>
      <c r="N361" s="197"/>
      <c r="O361" s="197"/>
    </row>
    <row r="362" spans="2:15" ht="12.75">
      <c r="B362" s="197"/>
      <c r="C362" s="197"/>
      <c r="D362" s="197"/>
      <c r="E362" s="197"/>
      <c r="F362" s="197"/>
      <c r="G362" s="197"/>
      <c r="H362" s="197"/>
      <c r="I362" s="197"/>
      <c r="J362" s="197"/>
      <c r="K362" s="197"/>
      <c r="L362" s="197"/>
      <c r="M362" s="197"/>
      <c r="N362" s="197"/>
      <c r="O362" s="197"/>
    </row>
    <row r="363" spans="2:15" ht="12.75">
      <c r="B363" s="197"/>
      <c r="C363" s="197"/>
      <c r="D363" s="197"/>
      <c r="E363" s="197"/>
      <c r="F363" s="197"/>
      <c r="G363" s="197"/>
      <c r="H363" s="197"/>
      <c r="I363" s="197"/>
      <c r="J363" s="197"/>
      <c r="K363" s="197"/>
      <c r="L363" s="197"/>
      <c r="M363" s="197"/>
      <c r="N363" s="197"/>
      <c r="O363" s="197"/>
    </row>
    <row r="364" spans="2:15" ht="12.75">
      <c r="B364" s="197"/>
      <c r="C364" s="197"/>
      <c r="D364" s="197"/>
      <c r="E364" s="197"/>
      <c r="F364" s="197"/>
      <c r="G364" s="197"/>
      <c r="H364" s="197"/>
      <c r="I364" s="197"/>
      <c r="J364" s="197"/>
      <c r="K364" s="197"/>
      <c r="L364" s="197"/>
      <c r="M364" s="197"/>
      <c r="N364" s="197"/>
      <c r="O364" s="197"/>
    </row>
    <row r="365" spans="2:15" ht="12.75">
      <c r="B365" s="197"/>
      <c r="C365" s="197"/>
      <c r="D365" s="197"/>
      <c r="E365" s="197"/>
      <c r="F365" s="197"/>
      <c r="G365" s="197"/>
      <c r="H365" s="197"/>
      <c r="I365" s="197"/>
      <c r="J365" s="197"/>
      <c r="K365" s="197"/>
      <c r="L365" s="197"/>
      <c r="M365" s="197"/>
      <c r="N365" s="197"/>
      <c r="O365" s="197"/>
    </row>
    <row r="366" spans="2:15" ht="12.75">
      <c r="B366" s="197"/>
      <c r="C366" s="197"/>
      <c r="D366" s="197"/>
      <c r="E366" s="197"/>
      <c r="F366" s="197"/>
      <c r="G366" s="197"/>
      <c r="H366" s="197"/>
      <c r="I366" s="197"/>
      <c r="J366" s="197"/>
      <c r="K366" s="197"/>
      <c r="L366" s="197"/>
      <c r="M366" s="197"/>
      <c r="N366" s="197"/>
      <c r="O366" s="197"/>
    </row>
    <row r="367" spans="2:15" ht="12.75">
      <c r="B367" s="197"/>
      <c r="C367" s="197"/>
      <c r="D367" s="197"/>
      <c r="E367" s="197"/>
      <c r="F367" s="197"/>
      <c r="G367" s="197"/>
      <c r="H367" s="197"/>
      <c r="I367" s="197"/>
      <c r="J367" s="197"/>
      <c r="K367" s="197"/>
      <c r="L367" s="197"/>
      <c r="M367" s="197"/>
      <c r="N367" s="197"/>
      <c r="O367" s="197"/>
    </row>
    <row r="368" spans="2:15" ht="12.75">
      <c r="B368" s="197"/>
      <c r="C368" s="197"/>
      <c r="D368" s="197"/>
      <c r="E368" s="197"/>
      <c r="F368" s="197"/>
      <c r="G368" s="197"/>
      <c r="H368" s="197"/>
      <c r="I368" s="197"/>
      <c r="J368" s="197"/>
      <c r="K368" s="197"/>
      <c r="L368" s="197"/>
      <c r="M368" s="197"/>
      <c r="N368" s="197"/>
      <c r="O368" s="197"/>
    </row>
    <row r="369" spans="2:15" ht="12.75">
      <c r="B369" s="197"/>
      <c r="C369" s="197"/>
      <c r="D369" s="197"/>
      <c r="E369" s="197"/>
      <c r="F369" s="197"/>
      <c r="G369" s="197"/>
      <c r="H369" s="197"/>
      <c r="I369" s="197"/>
      <c r="J369" s="197"/>
      <c r="K369" s="197"/>
      <c r="L369" s="197"/>
      <c r="M369" s="197"/>
      <c r="N369" s="197"/>
      <c r="O369" s="197"/>
    </row>
    <row r="370" spans="2:15" ht="12.75">
      <c r="B370" s="197"/>
      <c r="C370" s="197"/>
      <c r="D370" s="197"/>
      <c r="E370" s="197"/>
      <c r="F370" s="197"/>
      <c r="G370" s="197"/>
      <c r="H370" s="197"/>
      <c r="I370" s="197"/>
      <c r="J370" s="197"/>
      <c r="K370" s="197"/>
      <c r="L370" s="197"/>
      <c r="M370" s="197"/>
      <c r="N370" s="197"/>
      <c r="O370" s="197"/>
    </row>
    <row r="371" spans="2:15" ht="12.75">
      <c r="B371" s="197"/>
      <c r="C371" s="197"/>
      <c r="D371" s="197"/>
      <c r="E371" s="197"/>
      <c r="F371" s="197"/>
      <c r="G371" s="197"/>
      <c r="H371" s="197"/>
      <c r="I371" s="197"/>
      <c r="J371" s="197"/>
      <c r="K371" s="197"/>
      <c r="L371" s="197"/>
      <c r="M371" s="197"/>
      <c r="N371" s="197"/>
      <c r="O371" s="197"/>
    </row>
    <row r="372" spans="2:15" ht="12.75">
      <c r="B372" s="197"/>
      <c r="C372" s="197"/>
      <c r="D372" s="197"/>
      <c r="E372" s="197"/>
      <c r="F372" s="197"/>
      <c r="G372" s="197"/>
      <c r="H372" s="197"/>
      <c r="I372" s="197"/>
      <c r="J372" s="197"/>
      <c r="K372" s="197"/>
      <c r="L372" s="197"/>
      <c r="M372" s="197"/>
      <c r="N372" s="197"/>
      <c r="O372" s="197"/>
    </row>
    <row r="373" spans="2:15" ht="12.75">
      <c r="B373" s="197"/>
      <c r="C373" s="197"/>
      <c r="D373" s="197"/>
      <c r="E373" s="197"/>
      <c r="F373" s="197"/>
      <c r="G373" s="197"/>
      <c r="H373" s="197"/>
      <c r="I373" s="197"/>
      <c r="J373" s="197"/>
      <c r="K373" s="197"/>
      <c r="L373" s="197"/>
      <c r="M373" s="197"/>
      <c r="N373" s="197"/>
      <c r="O373" s="197"/>
    </row>
    <row r="374" spans="2:15" ht="12.75">
      <c r="B374" s="197"/>
      <c r="C374" s="197"/>
      <c r="D374" s="197"/>
      <c r="E374" s="197"/>
      <c r="F374" s="197"/>
      <c r="G374" s="197"/>
      <c r="H374" s="197"/>
      <c r="I374" s="197"/>
      <c r="J374" s="197"/>
      <c r="K374" s="197"/>
      <c r="L374" s="197"/>
      <c r="M374" s="197"/>
      <c r="N374" s="197"/>
      <c r="O374" s="197"/>
    </row>
    <row r="375" spans="2:15" ht="12.75">
      <c r="B375" s="197"/>
      <c r="C375" s="197"/>
      <c r="D375" s="197"/>
      <c r="E375" s="197"/>
      <c r="F375" s="197"/>
      <c r="G375" s="197"/>
      <c r="H375" s="197"/>
      <c r="I375" s="197"/>
      <c r="J375" s="197"/>
      <c r="K375" s="197"/>
      <c r="L375" s="197"/>
      <c r="M375" s="197"/>
      <c r="N375" s="197"/>
      <c r="O375" s="197"/>
    </row>
    <row r="376" spans="2:15" ht="12.75">
      <c r="B376" s="197"/>
      <c r="C376" s="197"/>
      <c r="D376" s="197"/>
      <c r="E376" s="197"/>
      <c r="F376" s="197"/>
      <c r="G376" s="197"/>
      <c r="H376" s="197"/>
      <c r="I376" s="197"/>
      <c r="J376" s="197"/>
      <c r="K376" s="197"/>
      <c r="L376" s="197"/>
      <c r="M376" s="197"/>
      <c r="N376" s="197"/>
      <c r="O376" s="197"/>
    </row>
    <row r="377" spans="2:15" ht="12.75">
      <c r="B377" s="197"/>
      <c r="C377" s="197"/>
      <c r="D377" s="197"/>
      <c r="E377" s="197"/>
      <c r="F377" s="197"/>
      <c r="G377" s="197"/>
      <c r="H377" s="197"/>
      <c r="I377" s="197"/>
      <c r="J377" s="197"/>
      <c r="K377" s="197"/>
      <c r="L377" s="197"/>
      <c r="M377" s="197"/>
      <c r="N377" s="197"/>
      <c r="O377" s="197"/>
    </row>
    <row r="378" spans="2:15" ht="12.75">
      <c r="B378" s="197"/>
      <c r="C378" s="197"/>
      <c r="D378" s="197"/>
      <c r="E378" s="197"/>
      <c r="F378" s="197"/>
      <c r="G378" s="197"/>
      <c r="H378" s="197"/>
      <c r="I378" s="197"/>
      <c r="J378" s="197"/>
      <c r="K378" s="197"/>
      <c r="L378" s="197"/>
      <c r="M378" s="197"/>
      <c r="N378" s="197"/>
      <c r="O378" s="197"/>
    </row>
    <row r="379" spans="2:15" ht="12.75">
      <c r="B379" s="197"/>
      <c r="C379" s="197"/>
      <c r="D379" s="197"/>
      <c r="E379" s="197"/>
      <c r="F379" s="197"/>
      <c r="G379" s="197"/>
      <c r="H379" s="197"/>
      <c r="I379" s="197"/>
      <c r="J379" s="197"/>
      <c r="K379" s="197"/>
      <c r="L379" s="197"/>
      <c r="M379" s="197"/>
      <c r="N379" s="197"/>
      <c r="O379" s="197"/>
    </row>
    <row r="380" spans="2:15" ht="12.75">
      <c r="B380" s="197"/>
      <c r="C380" s="197"/>
      <c r="D380" s="197"/>
      <c r="E380" s="197"/>
      <c r="F380" s="197"/>
      <c r="G380" s="197"/>
      <c r="H380" s="197"/>
      <c r="I380" s="197"/>
      <c r="J380" s="197"/>
      <c r="K380" s="197"/>
      <c r="L380" s="197"/>
      <c r="M380" s="197"/>
      <c r="N380" s="197"/>
      <c r="O380" s="197"/>
    </row>
    <row r="381" spans="2:15" ht="12.75">
      <c r="B381" s="197"/>
      <c r="C381" s="197"/>
      <c r="D381" s="197"/>
      <c r="E381" s="197"/>
      <c r="F381" s="197"/>
      <c r="G381" s="197"/>
      <c r="H381" s="197"/>
      <c r="I381" s="197"/>
      <c r="J381" s="197"/>
      <c r="K381" s="197"/>
      <c r="L381" s="197"/>
      <c r="M381" s="197"/>
      <c r="N381" s="197"/>
      <c r="O381" s="197"/>
    </row>
    <row r="382" spans="2:15" ht="12.75">
      <c r="B382" s="197"/>
      <c r="C382" s="197"/>
      <c r="D382" s="197"/>
      <c r="E382" s="197"/>
      <c r="F382" s="197"/>
      <c r="G382" s="197"/>
      <c r="H382" s="197"/>
      <c r="I382" s="197"/>
      <c r="J382" s="197"/>
      <c r="K382" s="197"/>
      <c r="L382" s="197"/>
      <c r="M382" s="197"/>
      <c r="N382" s="197"/>
      <c r="O382" s="197"/>
    </row>
    <row r="383" spans="2:15" ht="12.75">
      <c r="B383" s="197"/>
      <c r="C383" s="197"/>
      <c r="D383" s="197"/>
      <c r="E383" s="197"/>
      <c r="F383" s="197"/>
      <c r="G383" s="197"/>
      <c r="H383" s="197"/>
      <c r="I383" s="197"/>
      <c r="J383" s="197"/>
      <c r="K383" s="197"/>
      <c r="L383" s="197"/>
      <c r="M383" s="197"/>
      <c r="N383" s="197"/>
      <c r="O383" s="197"/>
    </row>
    <row r="384" spans="2:15" ht="12.75">
      <c r="B384" s="197"/>
      <c r="C384" s="197"/>
      <c r="D384" s="197"/>
      <c r="E384" s="197"/>
      <c r="F384" s="197"/>
      <c r="G384" s="197"/>
      <c r="H384" s="197"/>
      <c r="I384" s="197"/>
      <c r="J384" s="197"/>
      <c r="K384" s="197"/>
      <c r="L384" s="197"/>
      <c r="M384" s="197"/>
      <c r="N384" s="197"/>
      <c r="O384" s="197"/>
    </row>
    <row r="385" spans="2:15" ht="12.75">
      <c r="B385" s="197"/>
      <c r="C385" s="197"/>
      <c r="D385" s="197"/>
      <c r="E385" s="197"/>
      <c r="F385" s="197"/>
      <c r="G385" s="197"/>
      <c r="H385" s="197"/>
      <c r="I385" s="197"/>
      <c r="J385" s="197"/>
      <c r="K385" s="197"/>
      <c r="L385" s="197"/>
      <c r="M385" s="197"/>
      <c r="N385" s="197"/>
      <c r="O385" s="197"/>
    </row>
    <row r="386" spans="2:15" ht="12.75">
      <c r="B386" s="197"/>
      <c r="C386" s="197"/>
      <c r="D386" s="197"/>
      <c r="E386" s="197"/>
      <c r="F386" s="197"/>
      <c r="G386" s="197"/>
      <c r="H386" s="197"/>
      <c r="I386" s="197"/>
      <c r="J386" s="197"/>
      <c r="K386" s="197"/>
      <c r="L386" s="197"/>
      <c r="M386" s="197"/>
      <c r="N386" s="197"/>
      <c r="O386" s="197"/>
    </row>
    <row r="387" spans="2:15" ht="12.75">
      <c r="B387" s="197"/>
      <c r="C387" s="197"/>
      <c r="D387" s="197"/>
      <c r="E387" s="197"/>
      <c r="F387" s="197"/>
      <c r="G387" s="197"/>
      <c r="H387" s="197"/>
      <c r="I387" s="197"/>
      <c r="J387" s="197"/>
      <c r="K387" s="197"/>
      <c r="L387" s="197"/>
      <c r="M387" s="197"/>
      <c r="N387" s="197"/>
      <c r="O387" s="197"/>
    </row>
    <row r="388" spans="2:15" ht="12.75">
      <c r="B388" s="197"/>
      <c r="C388" s="197"/>
      <c r="D388" s="197"/>
      <c r="E388" s="197"/>
      <c r="F388" s="197"/>
      <c r="G388" s="197"/>
      <c r="H388" s="197"/>
      <c r="I388" s="197"/>
      <c r="J388" s="197"/>
      <c r="K388" s="197"/>
      <c r="L388" s="197"/>
      <c r="M388" s="197"/>
      <c r="N388" s="197"/>
      <c r="O388" s="197"/>
    </row>
    <row r="389" spans="2:15" ht="12.75">
      <c r="B389" s="197"/>
      <c r="C389" s="197"/>
      <c r="D389" s="197"/>
      <c r="E389" s="197"/>
      <c r="F389" s="197"/>
      <c r="G389" s="197"/>
      <c r="H389" s="197"/>
      <c r="I389" s="197"/>
      <c r="J389" s="197"/>
      <c r="K389" s="197"/>
      <c r="L389" s="197"/>
      <c r="M389" s="197"/>
      <c r="N389" s="197"/>
      <c r="O389" s="197"/>
    </row>
    <row r="390" spans="2:15" ht="12.75">
      <c r="B390" s="197"/>
      <c r="C390" s="197"/>
      <c r="D390" s="197"/>
      <c r="E390" s="197"/>
      <c r="F390" s="197"/>
      <c r="G390" s="197"/>
      <c r="H390" s="197"/>
      <c r="I390" s="197"/>
      <c r="J390" s="197"/>
      <c r="K390" s="197"/>
      <c r="L390" s="197"/>
      <c r="M390" s="197"/>
      <c r="N390" s="197"/>
      <c r="O390" s="197"/>
    </row>
    <row r="391" spans="2:15" ht="12.75">
      <c r="B391" s="197"/>
      <c r="C391" s="197"/>
      <c r="D391" s="197"/>
      <c r="E391" s="197"/>
      <c r="F391" s="197"/>
      <c r="G391" s="197"/>
      <c r="H391" s="197"/>
      <c r="I391" s="197"/>
      <c r="J391" s="197"/>
      <c r="K391" s="197"/>
      <c r="L391" s="197"/>
      <c r="M391" s="197"/>
      <c r="N391" s="197"/>
      <c r="O391" s="197"/>
    </row>
    <row r="392" spans="2:15" ht="12.75">
      <c r="B392" s="197"/>
      <c r="C392" s="197"/>
      <c r="D392" s="197"/>
      <c r="E392" s="197"/>
      <c r="F392" s="197"/>
      <c r="G392" s="197"/>
      <c r="H392" s="197"/>
      <c r="I392" s="197"/>
      <c r="J392" s="197"/>
      <c r="K392" s="197"/>
      <c r="L392" s="197"/>
      <c r="M392" s="197"/>
      <c r="N392" s="197"/>
      <c r="O392" s="197"/>
    </row>
    <row r="393" spans="2:15" ht="12.75">
      <c r="B393" s="197"/>
      <c r="C393" s="197"/>
      <c r="D393" s="197"/>
      <c r="E393" s="197"/>
      <c r="F393" s="197"/>
      <c r="G393" s="197"/>
      <c r="H393" s="197"/>
      <c r="I393" s="197"/>
      <c r="J393" s="197"/>
      <c r="K393" s="197"/>
      <c r="L393" s="197"/>
      <c r="M393" s="197"/>
      <c r="N393" s="197"/>
      <c r="O393" s="197"/>
    </row>
    <row r="394" spans="2:15" ht="12.75">
      <c r="B394" s="197"/>
      <c r="C394" s="197"/>
      <c r="D394" s="197"/>
      <c r="E394" s="197"/>
      <c r="F394" s="197"/>
      <c r="G394" s="197"/>
      <c r="H394" s="197"/>
      <c r="I394" s="197"/>
      <c r="J394" s="197"/>
      <c r="K394" s="197"/>
      <c r="L394" s="197"/>
      <c r="M394" s="197"/>
      <c r="N394" s="197"/>
      <c r="O394" s="197"/>
    </row>
    <row r="395" spans="2:15" ht="12.75">
      <c r="B395" s="197"/>
      <c r="C395" s="197"/>
      <c r="D395" s="197"/>
      <c r="E395" s="197"/>
      <c r="F395" s="197"/>
      <c r="G395" s="197"/>
      <c r="H395" s="197"/>
      <c r="I395" s="197"/>
      <c r="J395" s="197"/>
      <c r="K395" s="197"/>
      <c r="L395" s="197"/>
      <c r="M395" s="197"/>
      <c r="N395" s="197"/>
      <c r="O395" s="197"/>
    </row>
    <row r="396" spans="2:15" ht="12.75">
      <c r="B396" s="197"/>
      <c r="C396" s="197"/>
      <c r="D396" s="197"/>
      <c r="E396" s="197"/>
      <c r="F396" s="197"/>
      <c r="G396" s="197"/>
      <c r="H396" s="197"/>
      <c r="I396" s="197"/>
      <c r="J396" s="197"/>
      <c r="K396" s="197"/>
      <c r="L396" s="197"/>
      <c r="M396" s="197"/>
      <c r="N396" s="197"/>
      <c r="O396" s="197"/>
    </row>
    <row r="397" spans="2:15" ht="12.75">
      <c r="B397" s="197"/>
      <c r="C397" s="197"/>
      <c r="D397" s="197"/>
      <c r="E397" s="197"/>
      <c r="F397" s="197"/>
      <c r="G397" s="197"/>
      <c r="H397" s="197"/>
      <c r="I397" s="197"/>
      <c r="J397" s="197"/>
      <c r="K397" s="197"/>
      <c r="L397" s="197"/>
      <c r="M397" s="197"/>
      <c r="N397" s="197"/>
      <c r="O397" s="197"/>
    </row>
    <row r="398" spans="2:15" ht="12.75">
      <c r="B398" s="197"/>
      <c r="C398" s="197"/>
      <c r="D398" s="197"/>
      <c r="E398" s="197"/>
      <c r="F398" s="197"/>
      <c r="G398" s="197"/>
      <c r="H398" s="197"/>
      <c r="I398" s="197"/>
      <c r="J398" s="197"/>
      <c r="K398" s="197"/>
      <c r="L398" s="197"/>
      <c r="M398" s="197"/>
      <c r="N398" s="197"/>
      <c r="O398" s="197"/>
    </row>
    <row r="399" spans="2:15" ht="12.75">
      <c r="B399" s="197"/>
      <c r="C399" s="197"/>
      <c r="D399" s="197"/>
      <c r="E399" s="197"/>
      <c r="F399" s="197"/>
      <c r="G399" s="197"/>
      <c r="H399" s="197"/>
      <c r="I399" s="197"/>
      <c r="J399" s="197"/>
      <c r="K399" s="197"/>
      <c r="L399" s="197"/>
      <c r="M399" s="197"/>
      <c r="N399" s="197"/>
      <c r="O399" s="197"/>
    </row>
    <row r="400" spans="2:15" ht="12.75">
      <c r="B400" s="197"/>
      <c r="C400" s="197"/>
      <c r="D400" s="197"/>
      <c r="E400" s="197"/>
      <c r="F400" s="197"/>
      <c r="G400" s="197"/>
      <c r="H400" s="197"/>
      <c r="I400" s="197"/>
      <c r="J400" s="197"/>
      <c r="K400" s="197"/>
      <c r="L400" s="197"/>
      <c r="M400" s="197"/>
      <c r="N400" s="197"/>
      <c r="O400" s="197"/>
    </row>
    <row r="401" spans="2:15" ht="12.75">
      <c r="B401" s="197"/>
      <c r="C401" s="197"/>
      <c r="D401" s="197"/>
      <c r="E401" s="197"/>
      <c r="F401" s="197"/>
      <c r="G401" s="197"/>
      <c r="H401" s="197"/>
      <c r="I401" s="197"/>
      <c r="J401" s="197"/>
      <c r="K401" s="197"/>
      <c r="L401" s="197"/>
      <c r="M401" s="197"/>
      <c r="N401" s="197"/>
      <c r="O401" s="197"/>
    </row>
    <row r="402" spans="2:15" ht="12.75">
      <c r="B402" s="197"/>
      <c r="C402" s="197"/>
      <c r="D402" s="197"/>
      <c r="E402" s="197"/>
      <c r="F402" s="197"/>
      <c r="G402" s="197"/>
      <c r="H402" s="197"/>
      <c r="I402" s="197"/>
      <c r="J402" s="197"/>
      <c r="K402" s="197"/>
      <c r="L402" s="197"/>
      <c r="M402" s="197"/>
      <c r="N402" s="197"/>
      <c r="O402" s="197"/>
    </row>
    <row r="403" spans="2:15" ht="12.75">
      <c r="B403" s="197"/>
      <c r="C403" s="197"/>
      <c r="D403" s="197"/>
      <c r="E403" s="197"/>
      <c r="F403" s="197"/>
      <c r="G403" s="197"/>
      <c r="H403" s="197"/>
      <c r="I403" s="197"/>
      <c r="J403" s="197"/>
      <c r="K403" s="197"/>
      <c r="L403" s="197"/>
      <c r="M403" s="197"/>
      <c r="N403" s="197"/>
      <c r="O403" s="197"/>
    </row>
    <row r="404" spans="2:15" ht="12.75">
      <c r="B404" s="197"/>
      <c r="C404" s="197"/>
      <c r="D404" s="197"/>
      <c r="E404" s="197"/>
      <c r="F404" s="197"/>
      <c r="G404" s="197"/>
      <c r="H404" s="197"/>
      <c r="I404" s="197"/>
      <c r="J404" s="197"/>
      <c r="K404" s="197"/>
      <c r="L404" s="197"/>
      <c r="M404" s="197"/>
      <c r="N404" s="197"/>
      <c r="O404" s="197"/>
    </row>
    <row r="405" spans="2:15" ht="12.75">
      <c r="B405" s="197"/>
      <c r="C405" s="197"/>
      <c r="D405" s="197"/>
      <c r="E405" s="197"/>
      <c r="F405" s="197"/>
      <c r="G405" s="197"/>
      <c r="H405" s="197"/>
      <c r="I405" s="197"/>
      <c r="J405" s="197"/>
      <c r="K405" s="197"/>
      <c r="L405" s="197"/>
      <c r="M405" s="197"/>
      <c r="N405" s="197"/>
      <c r="O405" s="197"/>
    </row>
    <row r="406" spans="2:15" ht="12.75">
      <c r="B406" s="197"/>
      <c r="C406" s="197"/>
      <c r="D406" s="197"/>
      <c r="E406" s="197"/>
      <c r="F406" s="197"/>
      <c r="G406" s="197"/>
      <c r="H406" s="197"/>
      <c r="I406" s="197"/>
      <c r="J406" s="197"/>
      <c r="K406" s="197"/>
      <c r="L406" s="197"/>
      <c r="M406" s="197"/>
      <c r="N406" s="197"/>
      <c r="O406" s="197"/>
    </row>
    <row r="407" spans="2:15" ht="12.75">
      <c r="B407" s="197"/>
      <c r="C407" s="197"/>
      <c r="D407" s="197"/>
      <c r="E407" s="197"/>
      <c r="F407" s="197"/>
      <c r="G407" s="197"/>
      <c r="H407" s="197"/>
      <c r="I407" s="197"/>
      <c r="J407" s="197"/>
      <c r="K407" s="197"/>
      <c r="L407" s="197"/>
      <c r="M407" s="197"/>
      <c r="N407" s="197"/>
      <c r="O407" s="197"/>
    </row>
    <row r="408" spans="2:15" ht="12.75">
      <c r="B408" s="197"/>
      <c r="C408" s="197"/>
      <c r="D408" s="197"/>
      <c r="E408" s="197"/>
      <c r="F408" s="197"/>
      <c r="G408" s="197"/>
      <c r="H408" s="197"/>
      <c r="I408" s="197"/>
      <c r="J408" s="197"/>
      <c r="K408" s="197"/>
      <c r="L408" s="197"/>
      <c r="M408" s="197"/>
      <c r="N408" s="197"/>
      <c r="O408" s="197"/>
    </row>
    <row r="409" spans="2:15" ht="12.75">
      <c r="B409" s="197"/>
      <c r="C409" s="197"/>
      <c r="D409" s="197"/>
      <c r="E409" s="197"/>
      <c r="F409" s="197"/>
      <c r="G409" s="197"/>
      <c r="H409" s="197"/>
      <c r="I409" s="197"/>
      <c r="J409" s="197"/>
      <c r="K409" s="197"/>
      <c r="L409" s="197"/>
      <c r="M409" s="197"/>
      <c r="N409" s="197"/>
      <c r="O409" s="197"/>
    </row>
    <row r="410" spans="2:15" ht="12.75">
      <c r="B410" s="197"/>
      <c r="C410" s="197"/>
      <c r="D410" s="197"/>
      <c r="E410" s="197"/>
      <c r="F410" s="197"/>
      <c r="G410" s="197"/>
      <c r="H410" s="197"/>
      <c r="I410" s="197"/>
      <c r="J410" s="197"/>
      <c r="K410" s="197"/>
      <c r="L410" s="197"/>
      <c r="M410" s="197"/>
      <c r="N410" s="197"/>
      <c r="O410" s="197"/>
    </row>
    <row r="411" spans="2:15" ht="12.75">
      <c r="B411" s="197"/>
      <c r="C411" s="197"/>
      <c r="D411" s="197"/>
      <c r="E411" s="197"/>
      <c r="F411" s="197"/>
      <c r="G411" s="197"/>
      <c r="H411" s="197"/>
      <c r="I411" s="197"/>
      <c r="J411" s="197"/>
      <c r="K411" s="197"/>
      <c r="L411" s="197"/>
      <c r="M411" s="197"/>
      <c r="N411" s="197"/>
      <c r="O411" s="197"/>
    </row>
    <row r="412" spans="2:15" ht="12.75">
      <c r="B412" s="197"/>
      <c r="C412" s="197"/>
      <c r="D412" s="197"/>
      <c r="E412" s="197"/>
      <c r="F412" s="197"/>
      <c r="G412" s="197"/>
      <c r="H412" s="197"/>
      <c r="I412" s="197"/>
      <c r="J412" s="197"/>
      <c r="K412" s="197"/>
      <c r="L412" s="197"/>
      <c r="M412" s="197"/>
      <c r="N412" s="197"/>
      <c r="O412" s="197"/>
    </row>
    <row r="413" spans="2:15" ht="12.75">
      <c r="B413" s="197"/>
      <c r="C413" s="197"/>
      <c r="D413" s="197"/>
      <c r="E413" s="197"/>
      <c r="F413" s="197"/>
      <c r="G413" s="197"/>
      <c r="H413" s="197"/>
      <c r="I413" s="197"/>
      <c r="J413" s="197"/>
      <c r="K413" s="197"/>
      <c r="L413" s="197"/>
      <c r="M413" s="197"/>
      <c r="N413" s="197"/>
      <c r="O413" s="197"/>
    </row>
    <row r="414" spans="2:15" ht="12.75">
      <c r="B414" s="197"/>
      <c r="C414" s="197"/>
      <c r="D414" s="197"/>
      <c r="E414" s="197"/>
      <c r="F414" s="197"/>
      <c r="G414" s="197"/>
      <c r="H414" s="197"/>
      <c r="I414" s="197"/>
      <c r="J414" s="197"/>
      <c r="K414" s="197"/>
      <c r="L414" s="197"/>
      <c r="M414" s="197"/>
      <c r="N414" s="197"/>
      <c r="O414" s="197"/>
    </row>
    <row r="415" spans="2:15" ht="12.75">
      <c r="B415" s="197"/>
      <c r="C415" s="197"/>
      <c r="D415" s="197"/>
      <c r="E415" s="197"/>
      <c r="F415" s="197"/>
      <c r="G415" s="197"/>
      <c r="H415" s="197"/>
      <c r="I415" s="197"/>
      <c r="J415" s="197"/>
      <c r="K415" s="197"/>
      <c r="L415" s="197"/>
      <c r="M415" s="197"/>
      <c r="N415" s="197"/>
      <c r="O415" s="197"/>
    </row>
    <row r="416" spans="2:15" ht="12.75">
      <c r="B416" s="197"/>
      <c r="C416" s="197"/>
      <c r="D416" s="197"/>
      <c r="E416" s="197"/>
      <c r="F416" s="197"/>
      <c r="G416" s="197"/>
      <c r="H416" s="197"/>
      <c r="I416" s="197"/>
      <c r="J416" s="197"/>
      <c r="K416" s="197"/>
      <c r="L416" s="197"/>
      <c r="M416" s="197"/>
      <c r="N416" s="197"/>
      <c r="O416" s="197"/>
    </row>
    <row r="417" spans="2:15" ht="12.75">
      <c r="B417" s="197"/>
      <c r="C417" s="197"/>
      <c r="D417" s="197"/>
      <c r="E417" s="197"/>
      <c r="F417" s="197"/>
      <c r="G417" s="197"/>
      <c r="H417" s="197"/>
      <c r="I417" s="197"/>
      <c r="J417" s="197"/>
      <c r="K417" s="197"/>
      <c r="L417" s="197"/>
      <c r="M417" s="197"/>
      <c r="N417" s="197"/>
      <c r="O417" s="197"/>
    </row>
    <row r="418" spans="2:15" ht="12.75">
      <c r="B418" s="197"/>
      <c r="C418" s="197"/>
      <c r="D418" s="197"/>
      <c r="E418" s="197"/>
      <c r="F418" s="197"/>
      <c r="G418" s="197"/>
      <c r="H418" s="197"/>
      <c r="I418" s="197"/>
      <c r="J418" s="197"/>
      <c r="K418" s="197"/>
      <c r="L418" s="197"/>
      <c r="M418" s="197"/>
      <c r="N418" s="197"/>
      <c r="O418" s="197"/>
    </row>
    <row r="419" spans="2:15" ht="12.75">
      <c r="B419" s="197"/>
      <c r="C419" s="197"/>
      <c r="D419" s="197"/>
      <c r="E419" s="197"/>
      <c r="F419" s="197"/>
      <c r="G419" s="197"/>
      <c r="H419" s="197"/>
      <c r="I419" s="197"/>
      <c r="J419" s="197"/>
      <c r="K419" s="197"/>
      <c r="L419" s="197"/>
      <c r="M419" s="197"/>
      <c r="N419" s="197"/>
      <c r="O419" s="197"/>
    </row>
    <row r="420" spans="2:15" ht="12.75">
      <c r="B420" s="197"/>
      <c r="C420" s="197"/>
      <c r="D420" s="197"/>
      <c r="E420" s="197"/>
      <c r="F420" s="197"/>
      <c r="G420" s="197"/>
      <c r="H420" s="197"/>
      <c r="I420" s="197"/>
      <c r="J420" s="197"/>
      <c r="K420" s="197"/>
      <c r="L420" s="197"/>
      <c r="M420" s="197"/>
      <c r="N420" s="197"/>
      <c r="O420" s="197"/>
    </row>
    <row r="421" spans="2:15" ht="12.75">
      <c r="B421" s="197"/>
      <c r="C421" s="197"/>
      <c r="D421" s="197"/>
      <c r="E421" s="197"/>
      <c r="F421" s="197"/>
      <c r="G421" s="197"/>
      <c r="H421" s="197"/>
      <c r="I421" s="197"/>
      <c r="J421" s="197"/>
      <c r="K421" s="197"/>
      <c r="L421" s="197"/>
      <c r="M421" s="197"/>
      <c r="N421" s="197"/>
      <c r="O421" s="197"/>
    </row>
    <row r="422" spans="2:15" ht="12.75">
      <c r="B422" s="197"/>
      <c r="C422" s="197"/>
      <c r="D422" s="197"/>
      <c r="E422" s="197"/>
      <c r="F422" s="197"/>
      <c r="G422" s="197"/>
      <c r="H422" s="197"/>
      <c r="I422" s="197"/>
      <c r="J422" s="197"/>
      <c r="K422" s="197"/>
      <c r="L422" s="197"/>
      <c r="M422" s="197"/>
      <c r="N422" s="197"/>
      <c r="O422" s="197"/>
    </row>
    <row r="423" spans="2:15" ht="12.75">
      <c r="B423" s="197"/>
      <c r="C423" s="197"/>
      <c r="D423" s="197"/>
      <c r="E423" s="197"/>
      <c r="F423" s="197"/>
      <c r="G423" s="197"/>
      <c r="H423" s="197"/>
      <c r="I423" s="197"/>
      <c r="J423" s="197"/>
      <c r="K423" s="197"/>
      <c r="L423" s="197"/>
      <c r="M423" s="197"/>
      <c r="N423" s="197"/>
      <c r="O423" s="197"/>
    </row>
    <row r="424" spans="2:15" ht="12.75">
      <c r="B424" s="197"/>
      <c r="C424" s="197"/>
      <c r="D424" s="197"/>
      <c r="E424" s="197"/>
      <c r="F424" s="197"/>
      <c r="G424" s="197"/>
      <c r="H424" s="197"/>
      <c r="I424" s="197"/>
      <c r="J424" s="197"/>
      <c r="K424" s="197"/>
      <c r="L424" s="197"/>
      <c r="M424" s="197"/>
      <c r="N424" s="197"/>
      <c r="O424" s="197"/>
    </row>
    <row r="425" spans="2:15" ht="12.75">
      <c r="B425" s="197"/>
      <c r="C425" s="197"/>
      <c r="D425" s="197"/>
      <c r="E425" s="197"/>
      <c r="F425" s="197"/>
      <c r="G425" s="197"/>
      <c r="H425" s="197"/>
      <c r="I425" s="197"/>
      <c r="J425" s="197"/>
      <c r="K425" s="197"/>
      <c r="L425" s="197"/>
      <c r="M425" s="197"/>
      <c r="N425" s="197"/>
      <c r="O425" s="197"/>
    </row>
    <row r="426" spans="2:15" ht="12.75">
      <c r="B426" s="197"/>
      <c r="C426" s="197"/>
      <c r="D426" s="197"/>
      <c r="E426" s="197"/>
      <c r="F426" s="197"/>
      <c r="G426" s="197"/>
      <c r="H426" s="197"/>
      <c r="I426" s="197"/>
      <c r="J426" s="197"/>
      <c r="K426" s="197"/>
      <c r="L426" s="197"/>
      <c r="M426" s="197"/>
      <c r="N426" s="197"/>
      <c r="O426" s="197"/>
    </row>
    <row r="427" spans="2:15" ht="12.75">
      <c r="B427" s="197"/>
      <c r="C427" s="197"/>
      <c r="D427" s="197"/>
      <c r="E427" s="197"/>
      <c r="F427" s="197"/>
      <c r="G427" s="197"/>
      <c r="H427" s="197"/>
      <c r="I427" s="197"/>
      <c r="J427" s="197"/>
      <c r="K427" s="197"/>
      <c r="L427" s="197"/>
      <c r="M427" s="197"/>
      <c r="N427" s="197"/>
      <c r="O427" s="197"/>
    </row>
    <row r="428" spans="2:15" ht="12.75">
      <c r="B428" s="197"/>
      <c r="C428" s="197"/>
      <c r="D428" s="197"/>
      <c r="E428" s="197"/>
      <c r="F428" s="197"/>
      <c r="G428" s="197"/>
      <c r="H428" s="197"/>
      <c r="I428" s="197"/>
      <c r="J428" s="197"/>
      <c r="K428" s="197"/>
      <c r="L428" s="197"/>
      <c r="M428" s="197"/>
      <c r="N428" s="197"/>
      <c r="O428" s="197"/>
    </row>
    <row r="429" spans="2:15" ht="12.75">
      <c r="B429" s="197"/>
      <c r="C429" s="197"/>
      <c r="D429" s="197"/>
      <c r="E429" s="197"/>
      <c r="F429" s="197"/>
      <c r="G429" s="197"/>
      <c r="H429" s="197"/>
      <c r="I429" s="197"/>
      <c r="J429" s="197"/>
      <c r="K429" s="197"/>
      <c r="L429" s="197"/>
      <c r="M429" s="197"/>
      <c r="N429" s="197"/>
      <c r="O429" s="197"/>
    </row>
    <row r="430" spans="2:15" ht="12.75">
      <c r="B430" s="197"/>
      <c r="C430" s="197"/>
      <c r="D430" s="197"/>
      <c r="E430" s="197"/>
      <c r="F430" s="197"/>
      <c r="G430" s="197"/>
      <c r="H430" s="197"/>
      <c r="I430" s="197"/>
      <c r="J430" s="197"/>
      <c r="K430" s="197"/>
      <c r="L430" s="197"/>
      <c r="M430" s="197"/>
      <c r="N430" s="197"/>
      <c r="O430" s="197"/>
    </row>
    <row r="431" spans="2:15" ht="12.75">
      <c r="B431" s="197"/>
      <c r="C431" s="197"/>
      <c r="D431" s="197"/>
      <c r="E431" s="197"/>
      <c r="F431" s="197"/>
      <c r="G431" s="197"/>
      <c r="H431" s="197"/>
      <c r="I431" s="197"/>
      <c r="J431" s="197"/>
      <c r="K431" s="197"/>
      <c r="L431" s="197"/>
      <c r="M431" s="197"/>
      <c r="N431" s="197"/>
      <c r="O431" s="197"/>
    </row>
    <row r="432" spans="2:15" ht="12.75">
      <c r="B432" s="197"/>
      <c r="C432" s="197"/>
      <c r="D432" s="197"/>
      <c r="E432" s="197"/>
      <c r="F432" s="197"/>
      <c r="G432" s="197"/>
      <c r="H432" s="197"/>
      <c r="I432" s="197"/>
      <c r="J432" s="197"/>
      <c r="K432" s="197"/>
      <c r="L432" s="197"/>
      <c r="M432" s="197"/>
      <c r="N432" s="197"/>
      <c r="O432" s="197"/>
    </row>
    <row r="433" spans="2:15" ht="12.75">
      <c r="B433" s="197"/>
      <c r="C433" s="197"/>
      <c r="D433" s="197"/>
      <c r="E433" s="197"/>
      <c r="F433" s="197"/>
      <c r="G433" s="197"/>
      <c r="H433" s="197"/>
      <c r="I433" s="197"/>
      <c r="J433" s="197"/>
      <c r="K433" s="197"/>
      <c r="L433" s="197"/>
      <c r="M433" s="197"/>
      <c r="N433" s="197"/>
      <c r="O433" s="197"/>
    </row>
    <row r="434" spans="2:15" ht="12.75">
      <c r="B434" s="197"/>
      <c r="C434" s="197"/>
      <c r="D434" s="197"/>
      <c r="E434" s="197"/>
      <c r="F434" s="197"/>
      <c r="G434" s="197"/>
      <c r="H434" s="197"/>
      <c r="I434" s="197"/>
      <c r="J434" s="197"/>
      <c r="K434" s="197"/>
      <c r="L434" s="197"/>
      <c r="M434" s="197"/>
      <c r="N434" s="197"/>
      <c r="O434" s="197"/>
    </row>
    <row r="435" spans="2:15" ht="12.75">
      <c r="B435" s="197"/>
      <c r="C435" s="197"/>
      <c r="D435" s="197"/>
      <c r="E435" s="197"/>
      <c r="F435" s="197"/>
      <c r="G435" s="197"/>
      <c r="H435" s="197"/>
      <c r="I435" s="197"/>
      <c r="J435" s="197"/>
      <c r="K435" s="197"/>
      <c r="L435" s="197"/>
      <c r="M435" s="197"/>
      <c r="N435" s="197"/>
      <c r="O435" s="197"/>
    </row>
    <row r="436" spans="2:15" ht="12.75">
      <c r="B436" s="197"/>
      <c r="C436" s="197"/>
      <c r="D436" s="197"/>
      <c r="E436" s="197"/>
      <c r="F436" s="197"/>
      <c r="G436" s="197"/>
      <c r="H436" s="197"/>
      <c r="I436" s="197"/>
      <c r="J436" s="197"/>
      <c r="K436" s="197"/>
      <c r="L436" s="197"/>
      <c r="M436" s="197"/>
      <c r="N436" s="197"/>
      <c r="O436" s="197"/>
    </row>
    <row r="437" spans="2:15" ht="12.75">
      <c r="B437" s="197"/>
      <c r="C437" s="197"/>
      <c r="D437" s="197"/>
      <c r="E437" s="197"/>
      <c r="F437" s="197"/>
      <c r="G437" s="197"/>
      <c r="H437" s="197"/>
      <c r="I437" s="197"/>
      <c r="J437" s="197"/>
      <c r="K437" s="197"/>
      <c r="L437" s="197"/>
      <c r="M437" s="197"/>
      <c r="N437" s="197"/>
      <c r="O437" s="197"/>
    </row>
    <row r="438" spans="2:15" ht="12.75">
      <c r="B438" s="197"/>
      <c r="C438" s="197"/>
      <c r="D438" s="197"/>
      <c r="E438" s="197"/>
      <c r="F438" s="197"/>
      <c r="G438" s="197"/>
      <c r="H438" s="197"/>
      <c r="I438" s="197"/>
      <c r="J438" s="197"/>
      <c r="K438" s="197"/>
      <c r="L438" s="197"/>
      <c r="M438" s="197"/>
      <c r="N438" s="197"/>
      <c r="O438" s="197"/>
    </row>
    <row r="439" spans="2:15" ht="12.75">
      <c r="B439" s="197"/>
      <c r="C439" s="197"/>
      <c r="D439" s="197"/>
      <c r="E439" s="197"/>
      <c r="F439" s="197"/>
      <c r="G439" s="197"/>
      <c r="H439" s="197"/>
      <c r="I439" s="197"/>
      <c r="J439" s="197"/>
      <c r="K439" s="197"/>
      <c r="L439" s="197"/>
      <c r="M439" s="197"/>
      <c r="N439" s="197"/>
      <c r="O439" s="197"/>
    </row>
    <row r="440" spans="2:15" ht="12.75">
      <c r="B440" s="197"/>
      <c r="C440" s="197"/>
      <c r="D440" s="197"/>
      <c r="E440" s="197"/>
      <c r="F440" s="197"/>
      <c r="G440" s="197"/>
      <c r="H440" s="197"/>
      <c r="I440" s="197"/>
      <c r="J440" s="197"/>
      <c r="K440" s="197"/>
      <c r="L440" s="197"/>
      <c r="M440" s="197"/>
      <c r="N440" s="197"/>
      <c r="O440" s="197"/>
    </row>
    <row r="441" spans="2:15" ht="12.75">
      <c r="B441" s="197"/>
      <c r="C441" s="197"/>
      <c r="D441" s="197"/>
      <c r="E441" s="197"/>
      <c r="F441" s="197"/>
      <c r="G441" s="197"/>
      <c r="H441" s="197"/>
      <c r="I441" s="197"/>
      <c r="J441" s="197"/>
      <c r="K441" s="197"/>
      <c r="L441" s="197"/>
      <c r="M441" s="197"/>
      <c r="N441" s="197"/>
      <c r="O441" s="197"/>
    </row>
    <row r="442" spans="2:15" ht="12.75">
      <c r="B442" s="197"/>
      <c r="C442" s="197"/>
      <c r="D442" s="197"/>
      <c r="E442" s="197"/>
      <c r="F442" s="197"/>
      <c r="G442" s="197"/>
      <c r="H442" s="197"/>
      <c r="I442" s="197"/>
      <c r="J442" s="197"/>
      <c r="K442" s="197"/>
      <c r="L442" s="197"/>
      <c r="M442" s="197"/>
      <c r="N442" s="197"/>
      <c r="O442" s="197"/>
    </row>
    <row r="443" spans="2:15" ht="12.75">
      <c r="B443" s="197"/>
      <c r="C443" s="197"/>
      <c r="D443" s="197"/>
      <c r="E443" s="197"/>
      <c r="F443" s="197"/>
      <c r="G443" s="197"/>
      <c r="H443" s="197"/>
      <c r="I443" s="197"/>
      <c r="J443" s="197"/>
      <c r="K443" s="197"/>
      <c r="L443" s="197"/>
      <c r="M443" s="197"/>
      <c r="N443" s="197"/>
      <c r="O443" s="197"/>
    </row>
    <row r="444" spans="2:15" ht="12.75">
      <c r="B444" s="197"/>
      <c r="C444" s="197"/>
      <c r="D444" s="197"/>
      <c r="E444" s="197"/>
      <c r="F444" s="197"/>
      <c r="G444" s="197"/>
      <c r="H444" s="197"/>
      <c r="I444" s="197"/>
      <c r="J444" s="197"/>
      <c r="K444" s="197"/>
      <c r="L444" s="197"/>
      <c r="M444" s="197"/>
      <c r="N444" s="197"/>
      <c r="O444" s="197"/>
    </row>
    <row r="445" spans="2:15" ht="12.75">
      <c r="B445" s="197"/>
      <c r="C445" s="197"/>
      <c r="D445" s="197"/>
      <c r="E445" s="197"/>
      <c r="F445" s="197"/>
      <c r="G445" s="197"/>
      <c r="H445" s="197"/>
      <c r="I445" s="197"/>
      <c r="J445" s="197"/>
      <c r="K445" s="197"/>
      <c r="L445" s="197"/>
      <c r="M445" s="197"/>
      <c r="N445" s="197"/>
      <c r="O445" s="197"/>
    </row>
    <row r="446" spans="2:15" ht="12.75">
      <c r="B446" s="197"/>
      <c r="C446" s="197"/>
      <c r="D446" s="197"/>
      <c r="E446" s="197"/>
      <c r="F446" s="197"/>
      <c r="G446" s="197"/>
      <c r="H446" s="197"/>
      <c r="I446" s="197"/>
      <c r="J446" s="197"/>
      <c r="K446" s="197"/>
      <c r="L446" s="197"/>
      <c r="M446" s="197"/>
      <c r="N446" s="197"/>
      <c r="O446" s="197"/>
    </row>
    <row r="447" spans="2:15" ht="12.75">
      <c r="B447" s="197"/>
      <c r="C447" s="197"/>
      <c r="D447" s="197"/>
      <c r="E447" s="197"/>
      <c r="F447" s="197"/>
      <c r="G447" s="197"/>
      <c r="H447" s="197"/>
      <c r="I447" s="197"/>
      <c r="J447" s="197"/>
      <c r="K447" s="197"/>
      <c r="L447" s="197"/>
      <c r="M447" s="197"/>
      <c r="N447" s="197"/>
      <c r="O447" s="197"/>
    </row>
    <row r="448" spans="2:15" ht="12.75">
      <c r="B448" s="197"/>
      <c r="C448" s="197"/>
      <c r="D448" s="197"/>
      <c r="E448" s="197"/>
      <c r="F448" s="197"/>
      <c r="G448" s="197"/>
      <c r="H448" s="197"/>
      <c r="I448" s="197"/>
      <c r="J448" s="197"/>
      <c r="K448" s="197"/>
      <c r="L448" s="197"/>
      <c r="M448" s="197"/>
      <c r="N448" s="197"/>
      <c r="O448" s="197"/>
    </row>
    <row r="449" spans="2:15" ht="12.75">
      <c r="B449" s="197"/>
      <c r="C449" s="197"/>
      <c r="D449" s="197"/>
      <c r="E449" s="197"/>
      <c r="F449" s="197"/>
      <c r="G449" s="197"/>
      <c r="H449" s="197"/>
      <c r="I449" s="197"/>
      <c r="J449" s="197"/>
      <c r="K449" s="197"/>
      <c r="L449" s="197"/>
      <c r="M449" s="197"/>
      <c r="N449" s="197"/>
      <c r="O449" s="197"/>
    </row>
    <row r="450" spans="2:15" ht="12.75">
      <c r="B450" s="197"/>
      <c r="C450" s="197"/>
      <c r="D450" s="197"/>
      <c r="E450" s="197"/>
      <c r="F450" s="197"/>
      <c r="G450" s="197"/>
      <c r="H450" s="197"/>
      <c r="I450" s="197"/>
      <c r="J450" s="197"/>
      <c r="K450" s="197"/>
      <c r="L450" s="197"/>
      <c r="M450" s="197"/>
      <c r="N450" s="197"/>
      <c r="O450" s="197"/>
    </row>
    <row r="451" spans="2:15" ht="12.75">
      <c r="B451" s="197"/>
      <c r="C451" s="197"/>
      <c r="D451" s="197"/>
      <c r="E451" s="197"/>
      <c r="F451" s="197"/>
      <c r="G451" s="197"/>
      <c r="H451" s="197"/>
      <c r="I451" s="197"/>
      <c r="J451" s="197"/>
      <c r="K451" s="197"/>
      <c r="L451" s="197"/>
      <c r="M451" s="197"/>
      <c r="N451" s="197"/>
      <c r="O451" s="197"/>
    </row>
    <row r="452" spans="2:15" ht="12.75">
      <c r="B452" s="197"/>
      <c r="C452" s="197"/>
      <c r="D452" s="197"/>
      <c r="E452" s="197"/>
      <c r="F452" s="197"/>
      <c r="G452" s="197"/>
      <c r="H452" s="197"/>
      <c r="I452" s="197"/>
      <c r="J452" s="197"/>
      <c r="K452" s="197"/>
      <c r="L452" s="197"/>
      <c r="M452" s="197"/>
      <c r="N452" s="197"/>
      <c r="O452" s="197"/>
    </row>
    <row r="453" spans="2:15" ht="12.75">
      <c r="B453" s="197"/>
      <c r="C453" s="197"/>
      <c r="D453" s="197"/>
      <c r="E453" s="197"/>
      <c r="F453" s="197"/>
      <c r="G453" s="197"/>
      <c r="H453" s="197"/>
      <c r="I453" s="197"/>
      <c r="J453" s="197"/>
      <c r="K453" s="197"/>
      <c r="L453" s="197"/>
      <c r="M453" s="197"/>
      <c r="N453" s="197"/>
      <c r="O453" s="197"/>
    </row>
    <row r="454" spans="2:15" ht="12.75">
      <c r="B454" s="197"/>
      <c r="C454" s="197"/>
      <c r="D454" s="197"/>
      <c r="E454" s="197"/>
      <c r="F454" s="197"/>
      <c r="G454" s="197"/>
      <c r="H454" s="197"/>
      <c r="I454" s="197"/>
      <c r="J454" s="197"/>
      <c r="K454" s="197"/>
      <c r="L454" s="197"/>
      <c r="M454" s="197"/>
      <c r="N454" s="197"/>
      <c r="O454" s="197"/>
    </row>
    <row r="455" spans="2:15" ht="12.75">
      <c r="B455" s="197"/>
      <c r="C455" s="197"/>
      <c r="D455" s="197"/>
      <c r="E455" s="197"/>
      <c r="F455" s="197"/>
      <c r="G455" s="197"/>
      <c r="H455" s="197"/>
      <c r="I455" s="197"/>
      <c r="J455" s="197"/>
      <c r="K455" s="197"/>
      <c r="L455" s="197"/>
      <c r="M455" s="197"/>
      <c r="N455" s="197"/>
      <c r="O455" s="197"/>
    </row>
    <row r="456" spans="2:15" ht="12.75">
      <c r="B456" s="197"/>
      <c r="C456" s="197"/>
      <c r="D456" s="197"/>
      <c r="E456" s="197"/>
      <c r="F456" s="197"/>
      <c r="G456" s="197"/>
      <c r="H456" s="197"/>
      <c r="I456" s="197"/>
      <c r="J456" s="197"/>
      <c r="K456" s="197"/>
      <c r="L456" s="197"/>
      <c r="M456" s="197"/>
      <c r="N456" s="197"/>
      <c r="O456" s="197"/>
    </row>
    <row r="457" spans="2:15" ht="12.75">
      <c r="B457" s="197"/>
      <c r="C457" s="197"/>
      <c r="D457" s="197"/>
      <c r="E457" s="197"/>
      <c r="F457" s="197"/>
      <c r="G457" s="197"/>
      <c r="H457" s="197"/>
      <c r="I457" s="197"/>
      <c r="J457" s="197"/>
      <c r="K457" s="197"/>
      <c r="L457" s="197"/>
      <c r="M457" s="197"/>
      <c r="N457" s="197"/>
      <c r="O457" s="197"/>
    </row>
    <row r="458" spans="2:15" ht="12.75">
      <c r="B458" s="197"/>
      <c r="C458" s="197"/>
      <c r="D458" s="197"/>
      <c r="E458" s="197"/>
      <c r="F458" s="197"/>
      <c r="G458" s="197"/>
      <c r="H458" s="197"/>
      <c r="I458" s="197"/>
      <c r="J458" s="197"/>
      <c r="K458" s="197"/>
      <c r="L458" s="197"/>
      <c r="M458" s="197"/>
      <c r="N458" s="197"/>
      <c r="O458" s="197"/>
    </row>
    <row r="459" spans="2:15" ht="12.75">
      <c r="B459" s="197"/>
      <c r="C459" s="197"/>
      <c r="D459" s="197"/>
      <c r="E459" s="197"/>
      <c r="F459" s="197"/>
      <c r="G459" s="197"/>
      <c r="H459" s="197"/>
      <c r="I459" s="197"/>
      <c r="J459" s="197"/>
      <c r="K459" s="197"/>
      <c r="L459" s="197"/>
      <c r="M459" s="197"/>
      <c r="N459" s="197"/>
      <c r="O459" s="197"/>
    </row>
    <row r="460" spans="2:15" ht="12.75">
      <c r="B460" s="197"/>
      <c r="C460" s="197"/>
      <c r="D460" s="197"/>
      <c r="E460" s="197"/>
      <c r="F460" s="197"/>
      <c r="G460" s="197"/>
      <c r="H460" s="197"/>
      <c r="I460" s="197"/>
      <c r="J460" s="197"/>
      <c r="K460" s="197"/>
      <c r="L460" s="197"/>
      <c r="M460" s="197"/>
      <c r="N460" s="197"/>
      <c r="O460" s="197"/>
    </row>
    <row r="461" spans="2:15" ht="12.75">
      <c r="B461" s="197"/>
      <c r="C461" s="197"/>
      <c r="D461" s="197"/>
      <c r="E461" s="197"/>
      <c r="F461" s="197"/>
      <c r="G461" s="197"/>
      <c r="H461" s="197"/>
      <c r="I461" s="197"/>
      <c r="J461" s="197"/>
      <c r="K461" s="197"/>
      <c r="L461" s="197"/>
      <c r="M461" s="197"/>
      <c r="N461" s="197"/>
      <c r="O461" s="197"/>
    </row>
    <row r="462" spans="2:15" ht="12.75">
      <c r="B462" s="197"/>
      <c r="C462" s="197"/>
      <c r="D462" s="197"/>
      <c r="E462" s="197"/>
      <c r="F462" s="197"/>
      <c r="G462" s="197"/>
      <c r="H462" s="197"/>
      <c r="I462" s="197"/>
      <c r="J462" s="197"/>
      <c r="K462" s="197"/>
      <c r="L462" s="197"/>
      <c r="M462" s="197"/>
      <c r="N462" s="197"/>
      <c r="O462" s="197"/>
    </row>
    <row r="463" spans="2:15" ht="12.75">
      <c r="B463" s="197"/>
      <c r="C463" s="197"/>
      <c r="D463" s="197"/>
      <c r="E463" s="197"/>
      <c r="F463" s="197"/>
      <c r="G463" s="197"/>
      <c r="H463" s="197"/>
      <c r="I463" s="197"/>
      <c r="J463" s="197"/>
      <c r="K463" s="197"/>
      <c r="L463" s="197"/>
      <c r="M463" s="197"/>
      <c r="N463" s="197"/>
      <c r="O463" s="197"/>
    </row>
    <row r="464" spans="2:15" ht="12.75">
      <c r="B464" s="197"/>
      <c r="C464" s="197"/>
      <c r="D464" s="197"/>
      <c r="E464" s="197"/>
      <c r="F464" s="197"/>
      <c r="G464" s="197"/>
      <c r="H464" s="197"/>
      <c r="I464" s="197"/>
      <c r="J464" s="197"/>
      <c r="K464" s="197"/>
      <c r="L464" s="197"/>
      <c r="M464" s="197"/>
      <c r="N464" s="197"/>
      <c r="O464" s="197"/>
    </row>
    <row r="465" spans="2:15" ht="12.75">
      <c r="B465" s="197"/>
      <c r="C465" s="197"/>
      <c r="D465" s="197"/>
      <c r="E465" s="197"/>
      <c r="F465" s="197"/>
      <c r="G465" s="197"/>
      <c r="H465" s="197"/>
      <c r="I465" s="197"/>
      <c r="J465" s="197"/>
      <c r="K465" s="197"/>
      <c r="L465" s="197"/>
      <c r="M465" s="197"/>
      <c r="N465" s="197"/>
      <c r="O465" s="197"/>
    </row>
    <row r="466" spans="2:15" ht="12.75">
      <c r="B466" s="197"/>
      <c r="C466" s="197"/>
      <c r="D466" s="197"/>
      <c r="E466" s="197"/>
      <c r="F466" s="197"/>
      <c r="G466" s="197"/>
      <c r="H466" s="197"/>
      <c r="I466" s="197"/>
      <c r="J466" s="197"/>
      <c r="K466" s="197"/>
      <c r="L466" s="197"/>
      <c r="M466" s="197"/>
      <c r="N466" s="197"/>
      <c r="O466" s="197"/>
    </row>
    <row r="467" spans="2:15" ht="12.75">
      <c r="B467" s="197"/>
      <c r="C467" s="197"/>
      <c r="D467" s="197"/>
      <c r="E467" s="197"/>
      <c r="F467" s="197"/>
      <c r="G467" s="197"/>
      <c r="H467" s="197"/>
      <c r="I467" s="197"/>
      <c r="J467" s="197"/>
      <c r="K467" s="197"/>
      <c r="L467" s="197"/>
      <c r="M467" s="197"/>
      <c r="N467" s="197"/>
      <c r="O467" s="197"/>
    </row>
    <row r="468" spans="2:15" ht="12.75">
      <c r="B468" s="197"/>
      <c r="C468" s="197"/>
      <c r="D468" s="197"/>
      <c r="E468" s="197"/>
      <c r="F468" s="197"/>
      <c r="G468" s="197"/>
      <c r="H468" s="197"/>
      <c r="I468" s="197"/>
      <c r="J468" s="197"/>
      <c r="K468" s="197"/>
      <c r="L468" s="197"/>
      <c r="M468" s="197"/>
      <c r="N468" s="197"/>
      <c r="O468" s="197"/>
    </row>
    <row r="469" spans="2:15" ht="12.75">
      <c r="B469" s="197"/>
      <c r="C469" s="197"/>
      <c r="D469" s="197"/>
      <c r="E469" s="197"/>
      <c r="F469" s="197"/>
      <c r="G469" s="197"/>
      <c r="H469" s="197"/>
      <c r="I469" s="197"/>
      <c r="J469" s="197"/>
      <c r="K469" s="197"/>
      <c r="L469" s="197"/>
      <c r="M469" s="197"/>
      <c r="N469" s="197"/>
      <c r="O469" s="197"/>
    </row>
    <row r="470" spans="2:15" ht="12.75">
      <c r="B470" s="197"/>
      <c r="C470" s="197"/>
      <c r="D470" s="197"/>
      <c r="E470" s="197"/>
      <c r="F470" s="197"/>
      <c r="G470" s="197"/>
      <c r="H470" s="197"/>
      <c r="I470" s="197"/>
      <c r="J470" s="197"/>
      <c r="K470" s="197"/>
      <c r="L470" s="197"/>
      <c r="M470" s="197"/>
      <c r="N470" s="197"/>
      <c r="O470" s="197"/>
    </row>
    <row r="471" spans="2:15" ht="12.75">
      <c r="B471" s="197"/>
      <c r="C471" s="197"/>
      <c r="D471" s="197"/>
      <c r="E471" s="197"/>
      <c r="F471" s="197"/>
      <c r="G471" s="197"/>
      <c r="H471" s="197"/>
      <c r="I471" s="197"/>
      <c r="J471" s="197"/>
      <c r="K471" s="197"/>
      <c r="L471" s="197"/>
      <c r="M471" s="197"/>
      <c r="N471" s="197"/>
      <c r="O471" s="197"/>
    </row>
    <row r="472" spans="2:15" ht="12.75">
      <c r="B472" s="197"/>
      <c r="C472" s="197"/>
      <c r="D472" s="197"/>
      <c r="E472" s="197"/>
      <c r="F472" s="197"/>
      <c r="G472" s="197"/>
      <c r="H472" s="197"/>
      <c r="I472" s="197"/>
      <c r="J472" s="197"/>
      <c r="K472" s="197"/>
      <c r="L472" s="197"/>
      <c r="M472" s="197"/>
      <c r="N472" s="197"/>
      <c r="O472" s="197"/>
    </row>
    <row r="473" spans="2:15" ht="12.75">
      <c r="B473" s="197"/>
      <c r="C473" s="197"/>
      <c r="D473" s="197"/>
      <c r="E473" s="197"/>
      <c r="F473" s="197"/>
      <c r="G473" s="197"/>
      <c r="H473" s="197"/>
      <c r="I473" s="197"/>
      <c r="J473" s="197"/>
      <c r="K473" s="197"/>
      <c r="L473" s="197"/>
      <c r="M473" s="197"/>
      <c r="N473" s="197"/>
      <c r="O473" s="197"/>
    </row>
    <row r="474" spans="2:15" ht="12.75">
      <c r="B474" s="197"/>
      <c r="C474" s="197"/>
      <c r="D474" s="197"/>
      <c r="E474" s="197"/>
      <c r="F474" s="197"/>
      <c r="G474" s="197"/>
      <c r="H474" s="197"/>
      <c r="I474" s="197"/>
      <c r="J474" s="197"/>
      <c r="K474" s="197"/>
      <c r="L474" s="197"/>
      <c r="M474" s="197"/>
      <c r="N474" s="197"/>
      <c r="O474" s="197"/>
    </row>
    <row r="475" spans="2:15" ht="12.75">
      <c r="B475" s="197"/>
      <c r="C475" s="197"/>
      <c r="D475" s="197"/>
      <c r="E475" s="197"/>
      <c r="F475" s="197"/>
      <c r="G475" s="197"/>
      <c r="H475" s="197"/>
      <c r="I475" s="197"/>
      <c r="J475" s="197"/>
      <c r="K475" s="197"/>
      <c r="L475" s="197"/>
      <c r="M475" s="197"/>
      <c r="N475" s="197"/>
      <c r="O475" s="197"/>
    </row>
    <row r="476" spans="2:15" ht="12.75">
      <c r="B476" s="197"/>
      <c r="C476" s="197"/>
      <c r="D476" s="197"/>
      <c r="E476" s="197"/>
      <c r="F476" s="197"/>
      <c r="G476" s="197"/>
      <c r="H476" s="197"/>
      <c r="I476" s="197"/>
      <c r="J476" s="197"/>
      <c r="K476" s="197"/>
      <c r="L476" s="197"/>
      <c r="M476" s="197"/>
      <c r="N476" s="197"/>
      <c r="O476" s="197"/>
    </row>
    <row r="477" spans="2:15" ht="12.75">
      <c r="B477" s="197"/>
      <c r="C477" s="197"/>
      <c r="D477" s="197"/>
      <c r="E477" s="197"/>
      <c r="F477" s="197"/>
      <c r="G477" s="197"/>
      <c r="H477" s="197"/>
      <c r="I477" s="197"/>
      <c r="J477" s="197"/>
      <c r="K477" s="197"/>
      <c r="L477" s="197"/>
      <c r="M477" s="197"/>
      <c r="N477" s="197"/>
      <c r="O477" s="197"/>
    </row>
    <row r="478" spans="2:15" ht="12.75">
      <c r="B478" s="197"/>
      <c r="C478" s="197"/>
      <c r="D478" s="197"/>
      <c r="E478" s="197"/>
      <c r="F478" s="197"/>
      <c r="G478" s="197"/>
      <c r="H478" s="197"/>
      <c r="I478" s="197"/>
      <c r="J478" s="197"/>
      <c r="K478" s="197"/>
      <c r="L478" s="197"/>
      <c r="M478" s="197"/>
      <c r="N478" s="197"/>
      <c r="O478" s="197"/>
    </row>
    <row r="479" spans="2:15" ht="12.75">
      <c r="B479" s="197"/>
      <c r="C479" s="197"/>
      <c r="D479" s="197"/>
      <c r="E479" s="197"/>
      <c r="F479" s="197"/>
      <c r="G479" s="197"/>
      <c r="H479" s="197"/>
      <c r="I479" s="197"/>
      <c r="J479" s="197"/>
      <c r="K479" s="197"/>
      <c r="L479" s="197"/>
      <c r="M479" s="197"/>
      <c r="N479" s="197"/>
      <c r="O479" s="197"/>
    </row>
    <row r="480" spans="2:15" ht="12.75">
      <c r="B480" s="197"/>
      <c r="C480" s="197"/>
      <c r="D480" s="197"/>
      <c r="E480" s="197"/>
      <c r="F480" s="197"/>
      <c r="G480" s="197"/>
      <c r="H480" s="197"/>
      <c r="I480" s="197"/>
      <c r="J480" s="197"/>
      <c r="K480" s="197"/>
      <c r="L480" s="197"/>
      <c r="M480" s="197"/>
      <c r="N480" s="197"/>
      <c r="O480" s="197"/>
    </row>
    <row r="481" spans="2:15" ht="12.75">
      <c r="B481" s="197"/>
      <c r="C481" s="197"/>
      <c r="D481" s="197"/>
      <c r="E481" s="197"/>
      <c r="F481" s="197"/>
      <c r="G481" s="197"/>
      <c r="H481" s="197"/>
      <c r="I481" s="197"/>
      <c r="J481" s="197"/>
      <c r="K481" s="197"/>
      <c r="L481" s="197"/>
      <c r="M481" s="197"/>
      <c r="N481" s="197"/>
      <c r="O481" s="197"/>
    </row>
    <row r="482" spans="2:15" ht="12.75">
      <c r="B482" s="197"/>
      <c r="C482" s="197"/>
      <c r="D482" s="197"/>
      <c r="E482" s="197"/>
      <c r="F482" s="197"/>
      <c r="G482" s="197"/>
      <c r="H482" s="197"/>
      <c r="I482" s="197"/>
      <c r="J482" s="197"/>
      <c r="K482" s="197"/>
      <c r="L482" s="197"/>
      <c r="M482" s="197"/>
      <c r="N482" s="197"/>
      <c r="O482" s="197"/>
    </row>
    <row r="483" spans="2:15" ht="12.75">
      <c r="B483" s="197"/>
      <c r="C483" s="197"/>
      <c r="D483" s="197"/>
      <c r="E483" s="197"/>
      <c r="F483" s="197"/>
      <c r="G483" s="197"/>
      <c r="H483" s="197"/>
      <c r="I483" s="197"/>
      <c r="J483" s="197"/>
      <c r="K483" s="197"/>
      <c r="L483" s="197"/>
      <c r="M483" s="197"/>
      <c r="N483" s="197"/>
      <c r="O483" s="197"/>
    </row>
    <row r="484" spans="2:15" ht="12.75">
      <c r="B484" s="197"/>
      <c r="C484" s="197"/>
      <c r="D484" s="197"/>
      <c r="E484" s="197"/>
      <c r="F484" s="197"/>
      <c r="G484" s="197"/>
      <c r="H484" s="197"/>
      <c r="I484" s="197"/>
      <c r="J484" s="197"/>
      <c r="K484" s="197"/>
      <c r="L484" s="197"/>
      <c r="M484" s="197"/>
      <c r="N484" s="197"/>
      <c r="O484" s="197"/>
    </row>
    <row r="485" spans="2:15" ht="12.75">
      <c r="B485" s="197"/>
      <c r="C485" s="197"/>
      <c r="D485" s="197"/>
      <c r="E485" s="197"/>
      <c r="F485" s="197"/>
      <c r="G485" s="197"/>
      <c r="H485" s="197"/>
      <c r="I485" s="197"/>
      <c r="J485" s="197"/>
      <c r="K485" s="197"/>
      <c r="L485" s="197"/>
      <c r="M485" s="197"/>
      <c r="N485" s="197"/>
      <c r="O485" s="197"/>
    </row>
    <row r="486" spans="2:15" ht="12.75">
      <c r="B486" s="197"/>
      <c r="C486" s="197"/>
      <c r="D486" s="197"/>
      <c r="E486" s="197"/>
      <c r="F486" s="197"/>
      <c r="G486" s="197"/>
      <c r="H486" s="197"/>
      <c r="I486" s="197"/>
      <c r="J486" s="197"/>
      <c r="K486" s="197"/>
      <c r="L486" s="197"/>
      <c r="M486" s="197"/>
      <c r="N486" s="197"/>
      <c r="O486" s="197"/>
    </row>
    <row r="487" spans="2:15" ht="12.75">
      <c r="B487" s="197"/>
      <c r="C487" s="197"/>
      <c r="D487" s="197"/>
      <c r="E487" s="197"/>
      <c r="F487" s="197"/>
      <c r="G487" s="197"/>
      <c r="H487" s="197"/>
      <c r="I487" s="197"/>
      <c r="J487" s="197"/>
      <c r="K487" s="197"/>
      <c r="L487" s="197"/>
      <c r="M487" s="197"/>
      <c r="N487" s="197"/>
      <c r="O487" s="197"/>
    </row>
    <row r="488" spans="2:15" ht="12.75">
      <c r="B488" s="197"/>
      <c r="C488" s="197"/>
      <c r="D488" s="197"/>
      <c r="E488" s="197"/>
      <c r="F488" s="197"/>
      <c r="G488" s="197"/>
      <c r="H488" s="197"/>
      <c r="I488" s="197"/>
      <c r="J488" s="197"/>
      <c r="K488" s="197"/>
      <c r="L488" s="197"/>
      <c r="M488" s="197"/>
      <c r="N488" s="197"/>
      <c r="O488" s="197"/>
    </row>
    <row r="489" spans="2:15" ht="12.75">
      <c r="B489" s="197"/>
      <c r="C489" s="197"/>
      <c r="D489" s="197"/>
      <c r="E489" s="197"/>
      <c r="F489" s="197"/>
      <c r="G489" s="197"/>
      <c r="H489" s="197"/>
      <c r="I489" s="197"/>
      <c r="J489" s="197"/>
      <c r="K489" s="197"/>
      <c r="L489" s="197"/>
      <c r="M489" s="197"/>
      <c r="N489" s="197"/>
      <c r="O489" s="197"/>
    </row>
    <row r="490" spans="2:15" ht="12.75">
      <c r="B490" s="197"/>
      <c r="C490" s="197"/>
      <c r="D490" s="197"/>
      <c r="E490" s="197"/>
      <c r="F490" s="197"/>
      <c r="G490" s="197"/>
      <c r="H490" s="197"/>
      <c r="I490" s="197"/>
      <c r="J490" s="197"/>
      <c r="K490" s="197"/>
      <c r="L490" s="197"/>
      <c r="M490" s="197"/>
      <c r="N490" s="197"/>
      <c r="O490" s="197"/>
    </row>
    <row r="491" spans="2:15" ht="12.75">
      <c r="B491" s="197"/>
      <c r="C491" s="197"/>
      <c r="D491" s="197"/>
      <c r="E491" s="197"/>
      <c r="F491" s="197"/>
      <c r="G491" s="197"/>
      <c r="H491" s="197"/>
      <c r="I491" s="197"/>
      <c r="J491" s="197"/>
      <c r="K491" s="197"/>
      <c r="L491" s="197"/>
      <c r="M491" s="197"/>
      <c r="N491" s="197"/>
      <c r="O491" s="197"/>
    </row>
    <row r="492" spans="2:15" ht="12.75">
      <c r="B492" s="197"/>
      <c r="C492" s="197"/>
      <c r="D492" s="197"/>
      <c r="E492" s="197"/>
      <c r="F492" s="197"/>
      <c r="G492" s="197"/>
      <c r="H492" s="197"/>
      <c r="I492" s="197"/>
      <c r="J492" s="197"/>
      <c r="K492" s="197"/>
      <c r="L492" s="197"/>
      <c r="M492" s="197"/>
      <c r="N492" s="197"/>
      <c r="O492" s="197"/>
    </row>
    <row r="493" spans="2:15" ht="12.75">
      <c r="B493" s="197"/>
      <c r="C493" s="197"/>
      <c r="D493" s="197"/>
      <c r="E493" s="197"/>
      <c r="F493" s="197"/>
      <c r="G493" s="197"/>
      <c r="H493" s="197"/>
      <c r="I493" s="197"/>
      <c r="J493" s="197"/>
      <c r="K493" s="197"/>
      <c r="L493" s="197"/>
      <c r="M493" s="197"/>
      <c r="N493" s="197"/>
      <c r="O493" s="197"/>
    </row>
    <row r="494" spans="2:15" ht="12.75">
      <c r="B494" s="197"/>
      <c r="C494" s="197"/>
      <c r="D494" s="197"/>
      <c r="E494" s="197"/>
      <c r="F494" s="197"/>
      <c r="G494" s="197"/>
      <c r="H494" s="197"/>
      <c r="I494" s="197"/>
      <c r="J494" s="197"/>
      <c r="K494" s="197"/>
      <c r="L494" s="197"/>
      <c r="M494" s="197"/>
      <c r="N494" s="197"/>
      <c r="O494" s="197"/>
    </row>
    <row r="495" spans="2:15" ht="12.75">
      <c r="B495" s="197"/>
      <c r="C495" s="197"/>
      <c r="D495" s="197"/>
      <c r="E495" s="197"/>
      <c r="F495" s="197"/>
      <c r="G495" s="197"/>
      <c r="H495" s="197"/>
      <c r="I495" s="197"/>
      <c r="J495" s="197"/>
      <c r="K495" s="197"/>
      <c r="L495" s="197"/>
      <c r="M495" s="197"/>
      <c r="N495" s="197"/>
      <c r="O495" s="197"/>
    </row>
    <row r="496" spans="2:15" ht="12.75">
      <c r="B496" s="197"/>
      <c r="C496" s="197"/>
      <c r="D496" s="197"/>
      <c r="E496" s="197"/>
      <c r="F496" s="197"/>
      <c r="G496" s="197"/>
      <c r="H496" s="197"/>
      <c r="I496" s="197"/>
      <c r="J496" s="197"/>
      <c r="K496" s="197"/>
      <c r="L496" s="197"/>
      <c r="M496" s="197"/>
      <c r="N496" s="197"/>
      <c r="O496" s="197"/>
    </row>
    <row r="497" spans="2:15" ht="12.75">
      <c r="B497" s="197"/>
      <c r="C497" s="197"/>
      <c r="D497" s="197"/>
      <c r="E497" s="197"/>
      <c r="F497" s="197"/>
      <c r="G497" s="197"/>
      <c r="H497" s="197"/>
      <c r="I497" s="197"/>
      <c r="J497" s="197"/>
      <c r="K497" s="197"/>
      <c r="L497" s="197"/>
      <c r="M497" s="197"/>
      <c r="N497" s="197"/>
      <c r="O497" s="197"/>
    </row>
    <row r="498" spans="2:15" ht="12.75">
      <c r="B498" s="197"/>
      <c r="C498" s="197"/>
      <c r="D498" s="197"/>
      <c r="E498" s="197"/>
      <c r="F498" s="197"/>
      <c r="G498" s="197"/>
      <c r="H498" s="197"/>
      <c r="I498" s="197"/>
      <c r="J498" s="197"/>
      <c r="K498" s="197"/>
      <c r="L498" s="197"/>
      <c r="M498" s="197"/>
      <c r="N498" s="197"/>
      <c r="O498" s="197"/>
    </row>
    <row r="499" spans="2:15" ht="12.75">
      <c r="B499" s="197"/>
      <c r="C499" s="197"/>
      <c r="D499" s="197"/>
      <c r="E499" s="197"/>
      <c r="F499" s="197"/>
      <c r="G499" s="197"/>
      <c r="H499" s="197"/>
      <c r="I499" s="197"/>
      <c r="J499" s="197"/>
      <c r="K499" s="197"/>
      <c r="L499" s="197"/>
      <c r="M499" s="197"/>
      <c r="N499" s="197"/>
      <c r="O499" s="197"/>
    </row>
    <row r="500" spans="2:15" ht="12.75">
      <c r="B500" s="197"/>
      <c r="C500" s="197"/>
      <c r="D500" s="197"/>
      <c r="E500" s="197"/>
      <c r="F500" s="197"/>
      <c r="G500" s="197"/>
      <c r="H500" s="197"/>
      <c r="I500" s="197"/>
      <c r="J500" s="197"/>
      <c r="K500" s="197"/>
      <c r="L500" s="197"/>
      <c r="M500" s="197"/>
      <c r="N500" s="197"/>
      <c r="O500" s="197"/>
    </row>
    <row r="501" spans="2:15" ht="12.75">
      <c r="B501" s="197"/>
      <c r="C501" s="197"/>
      <c r="D501" s="197"/>
      <c r="E501" s="197"/>
      <c r="F501" s="197"/>
      <c r="G501" s="197"/>
      <c r="H501" s="197"/>
      <c r="I501" s="197"/>
      <c r="J501" s="197"/>
      <c r="K501" s="197"/>
      <c r="L501" s="197"/>
      <c r="M501" s="197"/>
      <c r="N501" s="197"/>
      <c r="O501" s="197"/>
    </row>
    <row r="502" spans="2:15" ht="12.75">
      <c r="B502" s="197"/>
      <c r="C502" s="197"/>
      <c r="D502" s="197"/>
      <c r="E502" s="197"/>
      <c r="F502" s="197"/>
      <c r="G502" s="197"/>
      <c r="H502" s="197"/>
      <c r="I502" s="197"/>
      <c r="J502" s="197"/>
      <c r="K502" s="197"/>
      <c r="L502" s="197"/>
      <c r="M502" s="197"/>
      <c r="N502" s="197"/>
      <c r="O502" s="197"/>
    </row>
    <row r="503" spans="2:15" ht="12.75">
      <c r="B503" s="197"/>
      <c r="C503" s="197"/>
      <c r="D503" s="197"/>
      <c r="E503" s="197"/>
      <c r="F503" s="197"/>
      <c r="G503" s="197"/>
      <c r="H503" s="197"/>
      <c r="I503" s="197"/>
      <c r="J503" s="197"/>
      <c r="K503" s="197"/>
      <c r="L503" s="197"/>
      <c r="M503" s="197"/>
      <c r="N503" s="197"/>
      <c r="O503" s="197"/>
    </row>
    <row r="504" spans="2:15" ht="12.75">
      <c r="B504" s="197"/>
      <c r="C504" s="197"/>
      <c r="D504" s="197"/>
      <c r="E504" s="197"/>
      <c r="F504" s="197"/>
      <c r="G504" s="197"/>
      <c r="H504" s="197"/>
      <c r="I504" s="197"/>
      <c r="J504" s="197"/>
      <c r="K504" s="197"/>
      <c r="L504" s="197"/>
      <c r="M504" s="197"/>
      <c r="N504" s="197"/>
      <c r="O504" s="197"/>
    </row>
    <row r="505" spans="2:15" ht="12.75">
      <c r="B505" s="197"/>
      <c r="C505" s="197"/>
      <c r="D505" s="197"/>
      <c r="E505" s="197"/>
      <c r="F505" s="197"/>
      <c r="G505" s="197"/>
      <c r="H505" s="197"/>
      <c r="I505" s="197"/>
      <c r="J505" s="197"/>
      <c r="K505" s="197"/>
      <c r="L505" s="197"/>
      <c r="M505" s="197"/>
      <c r="N505" s="197"/>
      <c r="O505" s="197"/>
    </row>
  </sheetData>
  <sheetProtection/>
  <mergeCells count="22">
    <mergeCell ref="D9:M9"/>
    <mergeCell ref="D10:M10"/>
    <mergeCell ref="D11:M11"/>
    <mergeCell ref="D17:M17"/>
    <mergeCell ref="D16:M16"/>
    <mergeCell ref="D18:M18"/>
    <mergeCell ref="D12:M12"/>
    <mergeCell ref="C25:M25"/>
    <mergeCell ref="D14:M14"/>
    <mergeCell ref="D19:M19"/>
    <mergeCell ref="D20:M20"/>
    <mergeCell ref="D21:M21"/>
    <mergeCell ref="D13:M13"/>
    <mergeCell ref="D4:M4"/>
    <mergeCell ref="D22:M22"/>
    <mergeCell ref="D15:M15"/>
    <mergeCell ref="A1:N1"/>
    <mergeCell ref="A2:N2"/>
    <mergeCell ref="D5:M5"/>
    <mergeCell ref="D6:M6"/>
    <mergeCell ref="B9:B11"/>
    <mergeCell ref="B12:B22"/>
  </mergeCells>
  <printOptions/>
  <pageMargins left="0.25" right="0.25" top="0.5" bottom="0.5" header="0.3" footer="0.3"/>
  <pageSetup horizontalDpi="1200" verticalDpi="1200" orientation="landscape" r:id="rId2"/>
  <headerFooter>
    <oddFooter>&amp;CPage &amp;P&amp;RDS_Stage1_O_CoalMine_I6_2009.01.xls</oddFooter>
  </headerFooter>
  <rowBreaks count="1" manualBreakCount="1">
    <brk id="25" max="255" man="1"/>
  </rowBreaks>
  <drawing r:id="rId1"/>
</worksheet>
</file>

<file path=xl/worksheets/sheet10.xml><?xml version="1.0" encoding="utf-8"?>
<worksheet xmlns="http://schemas.openxmlformats.org/spreadsheetml/2006/main" xmlns:r="http://schemas.openxmlformats.org/officeDocument/2006/relationships">
  <sheetPr codeName="Sheet7"/>
  <dimension ref="A1:AO21"/>
  <sheetViews>
    <sheetView zoomScalePageLayoutView="0" workbookViewId="0" topLeftCell="A1">
      <selection activeCell="A1" sqref="A1"/>
    </sheetView>
  </sheetViews>
  <sheetFormatPr defaultColWidth="9.140625" defaultRowHeight="12.75"/>
  <cols>
    <col min="3" max="3" width="13.57421875" style="0" customWidth="1"/>
    <col min="4" max="4" width="12.28125" style="0" bestFit="1" customWidth="1"/>
    <col min="11" max="11" width="13.140625" style="0" customWidth="1"/>
    <col min="12" max="12" width="11.8515625" style="0" customWidth="1"/>
    <col min="21" max="21" width="11.421875" style="0" customWidth="1"/>
    <col min="23" max="23" width="10.28125" style="0" customWidth="1"/>
    <col min="24" max="24" width="11.8515625" style="0" customWidth="1"/>
    <col min="32" max="32" width="11.00390625" style="0" customWidth="1"/>
    <col min="38" max="38" width="16.57421875" style="0" customWidth="1"/>
  </cols>
  <sheetData>
    <row r="1" spans="1:38" ht="20.25">
      <c r="A1" s="49"/>
      <c r="B1" s="49"/>
      <c r="C1" s="49"/>
      <c r="D1" s="49"/>
      <c r="E1" s="49"/>
      <c r="F1" s="49"/>
      <c r="G1" s="49"/>
      <c r="H1" s="161" t="s">
        <v>617</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4" customFormat="1" ht="20.25">
      <c r="A2" s="158" t="s">
        <v>587</v>
      </c>
      <c r="B2" s="158"/>
      <c r="C2" s="158"/>
      <c r="D2" s="158"/>
      <c r="E2" s="158"/>
      <c r="F2" s="158"/>
      <c r="G2" s="158"/>
      <c r="H2" s="158"/>
      <c r="I2" s="158" t="s">
        <v>91</v>
      </c>
    </row>
    <row r="4" ht="12.75">
      <c r="I4" s="47" t="s">
        <v>618</v>
      </c>
    </row>
    <row r="5" ht="12.75">
      <c r="I5" s="1" t="s">
        <v>436</v>
      </c>
    </row>
    <row r="6" spans="4:41" s="45" customFormat="1" ht="51">
      <c r="D6" s="47" t="s">
        <v>375</v>
      </c>
      <c r="E6" s="47" t="s">
        <v>126</v>
      </c>
      <c r="I6" s="95" t="s">
        <v>387</v>
      </c>
      <c r="J6" s="95" t="s">
        <v>388</v>
      </c>
      <c r="K6" s="95" t="s">
        <v>389</v>
      </c>
      <c r="L6" s="95" t="s">
        <v>390</v>
      </c>
      <c r="M6" s="95" t="s">
        <v>391</v>
      </c>
      <c r="N6" s="95" t="s">
        <v>392</v>
      </c>
      <c r="O6" s="95" t="s">
        <v>393</v>
      </c>
      <c r="P6" s="95" t="s">
        <v>394</v>
      </c>
      <c r="Q6" s="95" t="s">
        <v>395</v>
      </c>
      <c r="R6" s="95" t="s">
        <v>396</v>
      </c>
      <c r="S6" s="95" t="s">
        <v>397</v>
      </c>
      <c r="T6" s="95" t="s">
        <v>398</v>
      </c>
      <c r="U6" s="95" t="s">
        <v>393</v>
      </c>
      <c r="V6" s="95" t="s">
        <v>399</v>
      </c>
      <c r="W6" s="95" t="s">
        <v>400</v>
      </c>
      <c r="X6" s="95" t="s">
        <v>401</v>
      </c>
      <c r="Y6" s="95" t="s">
        <v>402</v>
      </c>
      <c r="Z6" s="95" t="s">
        <v>403</v>
      </c>
      <c r="AA6" s="95" t="s">
        <v>404</v>
      </c>
      <c r="AB6" s="95" t="s">
        <v>405</v>
      </c>
      <c r="AC6" s="95" t="s">
        <v>406</v>
      </c>
      <c r="AD6" s="95" t="s">
        <v>407</v>
      </c>
      <c r="AE6" s="95" t="s">
        <v>393</v>
      </c>
      <c r="AF6" s="95" t="s">
        <v>408</v>
      </c>
      <c r="AG6" s="95" t="s">
        <v>409</v>
      </c>
      <c r="AH6" s="95" t="s">
        <v>410</v>
      </c>
      <c r="AI6" s="95" t="s">
        <v>411</v>
      </c>
      <c r="AJ6" s="95" t="s">
        <v>412</v>
      </c>
      <c r="AK6" s="95" t="s">
        <v>413</v>
      </c>
      <c r="AL6" s="95" t="s">
        <v>414</v>
      </c>
      <c r="AM6" s="95" t="s">
        <v>415</v>
      </c>
      <c r="AN6" s="95" t="s">
        <v>416</v>
      </c>
      <c r="AO6" s="95" t="s">
        <v>417</v>
      </c>
    </row>
    <row r="7" spans="4:41" ht="12.75" customHeight="1">
      <c r="D7" s="88">
        <f aca="true" t="shared" si="0" ref="D7:D16">V7</f>
        <v>0.0006</v>
      </c>
      <c r="E7" s="89" t="s">
        <v>376</v>
      </c>
      <c r="I7" s="96" t="s">
        <v>418</v>
      </c>
      <c r="J7" s="96" t="s">
        <v>419</v>
      </c>
      <c r="K7" s="96" t="s">
        <v>420</v>
      </c>
      <c r="L7" s="96" t="s">
        <v>421</v>
      </c>
      <c r="M7" s="96" t="s">
        <v>422</v>
      </c>
      <c r="N7" s="96" t="s">
        <v>423</v>
      </c>
      <c r="O7" s="96" t="s">
        <v>424</v>
      </c>
      <c r="P7" s="96" t="s">
        <v>421</v>
      </c>
      <c r="Q7" s="97">
        <v>20050101</v>
      </c>
      <c r="R7" s="97">
        <v>20051231</v>
      </c>
      <c r="S7" s="98"/>
      <c r="T7" s="98"/>
      <c r="U7" s="96" t="s">
        <v>424</v>
      </c>
      <c r="V7" s="97">
        <v>0.0006</v>
      </c>
      <c r="W7" s="96" t="s">
        <v>376</v>
      </c>
      <c r="X7" s="96" t="s">
        <v>425</v>
      </c>
      <c r="Y7" s="98"/>
      <c r="Z7" s="98"/>
      <c r="AA7" s="96" t="s">
        <v>424</v>
      </c>
      <c r="AB7" s="96" t="s">
        <v>424</v>
      </c>
      <c r="AC7" s="98"/>
      <c r="AD7" s="96" t="s">
        <v>424</v>
      </c>
      <c r="AE7" s="96" t="s">
        <v>424</v>
      </c>
      <c r="AF7" s="96" t="s">
        <v>426</v>
      </c>
      <c r="AG7" s="96" t="s">
        <v>424</v>
      </c>
      <c r="AH7" s="98"/>
      <c r="AI7" s="96" t="s">
        <v>424</v>
      </c>
      <c r="AJ7" s="96" t="s">
        <v>424</v>
      </c>
      <c r="AK7" s="96" t="s">
        <v>424</v>
      </c>
      <c r="AL7" s="96" t="s">
        <v>427</v>
      </c>
      <c r="AM7" s="96" t="s">
        <v>424</v>
      </c>
      <c r="AN7" s="96" t="s">
        <v>428</v>
      </c>
      <c r="AO7" s="96" t="s">
        <v>429</v>
      </c>
    </row>
    <row r="8" spans="4:41" ht="12.75" customHeight="1">
      <c r="D8" s="88">
        <f t="shared" si="0"/>
        <v>0.08</v>
      </c>
      <c r="E8" s="89" t="s">
        <v>376</v>
      </c>
      <c r="I8" s="96" t="s">
        <v>418</v>
      </c>
      <c r="J8" s="96" t="s">
        <v>419</v>
      </c>
      <c r="K8" s="96" t="s">
        <v>420</v>
      </c>
      <c r="L8" s="96" t="s">
        <v>430</v>
      </c>
      <c r="M8" s="96" t="s">
        <v>422</v>
      </c>
      <c r="N8" s="96" t="s">
        <v>423</v>
      </c>
      <c r="O8" s="96" t="s">
        <v>424</v>
      </c>
      <c r="P8" s="96" t="s">
        <v>430</v>
      </c>
      <c r="Q8" s="97">
        <v>20050101</v>
      </c>
      <c r="R8" s="97">
        <v>20051231</v>
      </c>
      <c r="S8" s="98"/>
      <c r="T8" s="98"/>
      <c r="U8" s="96" t="s">
        <v>424</v>
      </c>
      <c r="V8" s="97">
        <v>0.08</v>
      </c>
      <c r="W8" s="96" t="s">
        <v>376</v>
      </c>
      <c r="X8" s="96" t="s">
        <v>425</v>
      </c>
      <c r="Y8" s="98"/>
      <c r="Z8" s="98"/>
      <c r="AA8" s="96" t="s">
        <v>424</v>
      </c>
      <c r="AB8" s="96" t="s">
        <v>424</v>
      </c>
      <c r="AC8" s="98"/>
      <c r="AD8" s="96" t="s">
        <v>424</v>
      </c>
      <c r="AE8" s="96" t="s">
        <v>424</v>
      </c>
      <c r="AF8" s="96" t="s">
        <v>426</v>
      </c>
      <c r="AG8" s="96" t="s">
        <v>424</v>
      </c>
      <c r="AH8" s="98"/>
      <c r="AI8" s="96" t="s">
        <v>424</v>
      </c>
      <c r="AJ8" s="96" t="s">
        <v>424</v>
      </c>
      <c r="AK8" s="96" t="s">
        <v>424</v>
      </c>
      <c r="AL8" s="96" t="s">
        <v>427</v>
      </c>
      <c r="AM8" s="96" t="s">
        <v>424</v>
      </c>
      <c r="AN8" s="96" t="s">
        <v>428</v>
      </c>
      <c r="AO8" s="96" t="s">
        <v>429</v>
      </c>
    </row>
    <row r="9" spans="4:41" ht="12.75" customHeight="1">
      <c r="D9" s="88">
        <f t="shared" si="0"/>
        <v>0.312</v>
      </c>
      <c r="E9" s="89" t="s">
        <v>376</v>
      </c>
      <c r="I9" s="96" t="s">
        <v>418</v>
      </c>
      <c r="J9" s="96" t="s">
        <v>419</v>
      </c>
      <c r="K9" s="96" t="s">
        <v>420</v>
      </c>
      <c r="L9" s="96" t="s">
        <v>430</v>
      </c>
      <c r="M9" s="96" t="s">
        <v>422</v>
      </c>
      <c r="N9" s="96" t="s">
        <v>431</v>
      </c>
      <c r="O9" s="96" t="s">
        <v>424</v>
      </c>
      <c r="P9" s="96" t="s">
        <v>430</v>
      </c>
      <c r="Q9" s="97">
        <v>20050101</v>
      </c>
      <c r="R9" s="97">
        <v>20051231</v>
      </c>
      <c r="S9" s="98"/>
      <c r="T9" s="98"/>
      <c r="U9" s="96" t="s">
        <v>424</v>
      </c>
      <c r="V9" s="97">
        <v>0.312</v>
      </c>
      <c r="W9" s="96" t="s">
        <v>376</v>
      </c>
      <c r="X9" s="96" t="s">
        <v>425</v>
      </c>
      <c r="Y9" s="98"/>
      <c r="Z9" s="98"/>
      <c r="AA9" s="96" t="s">
        <v>424</v>
      </c>
      <c r="AB9" s="96" t="s">
        <v>424</v>
      </c>
      <c r="AC9" s="98"/>
      <c r="AD9" s="96" t="s">
        <v>424</v>
      </c>
      <c r="AE9" s="96" t="s">
        <v>424</v>
      </c>
      <c r="AF9" s="96" t="s">
        <v>426</v>
      </c>
      <c r="AG9" s="96" t="s">
        <v>424</v>
      </c>
      <c r="AH9" s="98"/>
      <c r="AI9" s="96" t="s">
        <v>424</v>
      </c>
      <c r="AJ9" s="96" t="s">
        <v>424</v>
      </c>
      <c r="AK9" s="96" t="s">
        <v>424</v>
      </c>
      <c r="AL9" s="96" t="s">
        <v>427</v>
      </c>
      <c r="AM9" s="96" t="s">
        <v>424</v>
      </c>
      <c r="AN9" s="96" t="s">
        <v>428</v>
      </c>
      <c r="AO9" s="96" t="s">
        <v>429</v>
      </c>
    </row>
    <row r="10" spans="4:41" ht="12.75" customHeight="1">
      <c r="D10" s="88">
        <f t="shared" si="0"/>
        <v>0.95</v>
      </c>
      <c r="E10" s="89" t="s">
        <v>376</v>
      </c>
      <c r="I10" s="96" t="s">
        <v>418</v>
      </c>
      <c r="J10" s="96" t="s">
        <v>419</v>
      </c>
      <c r="K10" s="96" t="s">
        <v>420</v>
      </c>
      <c r="L10" s="96" t="s">
        <v>432</v>
      </c>
      <c r="M10" s="96" t="s">
        <v>422</v>
      </c>
      <c r="N10" s="96" t="s">
        <v>423</v>
      </c>
      <c r="O10" s="96" t="s">
        <v>424</v>
      </c>
      <c r="P10" s="96" t="s">
        <v>432</v>
      </c>
      <c r="Q10" s="97">
        <v>20050101</v>
      </c>
      <c r="R10" s="97">
        <v>20051231</v>
      </c>
      <c r="S10" s="98"/>
      <c r="T10" s="98"/>
      <c r="U10" s="96" t="s">
        <v>424</v>
      </c>
      <c r="V10" s="97">
        <v>0.95</v>
      </c>
      <c r="W10" s="96" t="s">
        <v>376</v>
      </c>
      <c r="X10" s="96" t="s">
        <v>425</v>
      </c>
      <c r="Y10" s="98"/>
      <c r="Z10" s="98"/>
      <c r="AA10" s="96" t="s">
        <v>424</v>
      </c>
      <c r="AB10" s="96" t="s">
        <v>424</v>
      </c>
      <c r="AC10" s="98"/>
      <c r="AD10" s="96" t="s">
        <v>424</v>
      </c>
      <c r="AE10" s="96" t="s">
        <v>424</v>
      </c>
      <c r="AF10" s="96" t="s">
        <v>426</v>
      </c>
      <c r="AG10" s="96" t="s">
        <v>424</v>
      </c>
      <c r="AH10" s="98"/>
      <c r="AI10" s="96" t="s">
        <v>424</v>
      </c>
      <c r="AJ10" s="96" t="s">
        <v>424</v>
      </c>
      <c r="AK10" s="96" t="s">
        <v>424</v>
      </c>
      <c r="AL10" s="96" t="s">
        <v>427</v>
      </c>
      <c r="AM10" s="96" t="s">
        <v>424</v>
      </c>
      <c r="AN10" s="96" t="s">
        <v>428</v>
      </c>
      <c r="AO10" s="96" t="s">
        <v>429</v>
      </c>
    </row>
    <row r="11" spans="4:41" ht="12.75" customHeight="1">
      <c r="D11" s="88">
        <f t="shared" si="0"/>
        <v>1.4</v>
      </c>
      <c r="E11" s="89" t="s">
        <v>376</v>
      </c>
      <c r="I11" s="96" t="s">
        <v>418</v>
      </c>
      <c r="J11" s="96" t="s">
        <v>419</v>
      </c>
      <c r="K11" s="96" t="s">
        <v>420</v>
      </c>
      <c r="L11" s="96" t="s">
        <v>432</v>
      </c>
      <c r="M11" s="96" t="s">
        <v>422</v>
      </c>
      <c r="N11" s="96" t="s">
        <v>431</v>
      </c>
      <c r="O11" s="96" t="s">
        <v>424</v>
      </c>
      <c r="P11" s="96" t="s">
        <v>432</v>
      </c>
      <c r="Q11" s="97">
        <v>20050101</v>
      </c>
      <c r="R11" s="97">
        <v>20051231</v>
      </c>
      <c r="S11" s="98"/>
      <c r="T11" s="98"/>
      <c r="U11" s="96" t="s">
        <v>424</v>
      </c>
      <c r="V11" s="97">
        <v>1.4</v>
      </c>
      <c r="W11" s="96" t="s">
        <v>376</v>
      </c>
      <c r="X11" s="96" t="s">
        <v>425</v>
      </c>
      <c r="Y11" s="98"/>
      <c r="Z11" s="98"/>
      <c r="AA11" s="96" t="s">
        <v>424</v>
      </c>
      <c r="AB11" s="96" t="s">
        <v>424</v>
      </c>
      <c r="AC11" s="98"/>
      <c r="AD11" s="96" t="s">
        <v>424</v>
      </c>
      <c r="AE11" s="96" t="s">
        <v>424</v>
      </c>
      <c r="AF11" s="96" t="s">
        <v>426</v>
      </c>
      <c r="AG11" s="96" t="s">
        <v>424</v>
      </c>
      <c r="AH11" s="98"/>
      <c r="AI11" s="96" t="s">
        <v>424</v>
      </c>
      <c r="AJ11" s="96" t="s">
        <v>424</v>
      </c>
      <c r="AK11" s="96" t="s">
        <v>424</v>
      </c>
      <c r="AL11" s="96" t="s">
        <v>427</v>
      </c>
      <c r="AM11" s="96" t="s">
        <v>424</v>
      </c>
      <c r="AN11" s="96" t="s">
        <v>428</v>
      </c>
      <c r="AO11" s="96" t="s">
        <v>429</v>
      </c>
    </row>
    <row r="12" spans="4:41" ht="12.75" customHeight="1">
      <c r="D12" s="88">
        <f t="shared" si="0"/>
        <v>0.42</v>
      </c>
      <c r="E12" s="89" t="s">
        <v>376</v>
      </c>
      <c r="I12" s="96" t="s">
        <v>418</v>
      </c>
      <c r="J12" s="96" t="s">
        <v>419</v>
      </c>
      <c r="K12" s="96" t="s">
        <v>420</v>
      </c>
      <c r="L12" s="96" t="s">
        <v>433</v>
      </c>
      <c r="M12" s="96" t="s">
        <v>422</v>
      </c>
      <c r="N12" s="96" t="s">
        <v>423</v>
      </c>
      <c r="O12" s="96" t="s">
        <v>424</v>
      </c>
      <c r="P12" s="96" t="s">
        <v>433</v>
      </c>
      <c r="Q12" s="97">
        <v>20050101</v>
      </c>
      <c r="R12" s="97">
        <v>20051231</v>
      </c>
      <c r="S12" s="98"/>
      <c r="T12" s="98"/>
      <c r="U12" s="96" t="s">
        <v>424</v>
      </c>
      <c r="V12" s="97">
        <v>0.42</v>
      </c>
      <c r="W12" s="96" t="s">
        <v>376</v>
      </c>
      <c r="X12" s="96" t="s">
        <v>425</v>
      </c>
      <c r="Y12" s="98"/>
      <c r="Z12" s="98"/>
      <c r="AA12" s="96" t="s">
        <v>424</v>
      </c>
      <c r="AB12" s="96" t="s">
        <v>424</v>
      </c>
      <c r="AC12" s="98"/>
      <c r="AD12" s="96" t="s">
        <v>424</v>
      </c>
      <c r="AE12" s="96" t="s">
        <v>424</v>
      </c>
      <c r="AF12" s="96" t="s">
        <v>426</v>
      </c>
      <c r="AG12" s="96" t="s">
        <v>424</v>
      </c>
      <c r="AH12" s="98"/>
      <c r="AI12" s="96" t="s">
        <v>424</v>
      </c>
      <c r="AJ12" s="96" t="s">
        <v>424</v>
      </c>
      <c r="AK12" s="96" t="s">
        <v>424</v>
      </c>
      <c r="AL12" s="96" t="s">
        <v>427</v>
      </c>
      <c r="AM12" s="96" t="s">
        <v>424</v>
      </c>
      <c r="AN12" s="96" t="s">
        <v>428</v>
      </c>
      <c r="AO12" s="96" t="s">
        <v>429</v>
      </c>
    </row>
    <row r="13" spans="4:41" ht="12.75" customHeight="1">
      <c r="D13" s="88">
        <f t="shared" si="0"/>
        <v>4.02</v>
      </c>
      <c r="E13" s="89" t="s">
        <v>376</v>
      </c>
      <c r="I13" s="96" t="s">
        <v>418</v>
      </c>
      <c r="J13" s="96" t="s">
        <v>419</v>
      </c>
      <c r="K13" s="96" t="s">
        <v>420</v>
      </c>
      <c r="L13" s="96" t="s">
        <v>433</v>
      </c>
      <c r="M13" s="96" t="s">
        <v>422</v>
      </c>
      <c r="N13" s="96" t="s">
        <v>431</v>
      </c>
      <c r="O13" s="96" t="s">
        <v>424</v>
      </c>
      <c r="P13" s="96" t="s">
        <v>433</v>
      </c>
      <c r="Q13" s="97">
        <v>20050101</v>
      </c>
      <c r="R13" s="97">
        <v>20051231</v>
      </c>
      <c r="S13" s="98"/>
      <c r="T13" s="98"/>
      <c r="U13" s="96" t="s">
        <v>424</v>
      </c>
      <c r="V13" s="97">
        <v>4.02</v>
      </c>
      <c r="W13" s="96" t="s">
        <v>376</v>
      </c>
      <c r="X13" s="96" t="s">
        <v>425</v>
      </c>
      <c r="Y13" s="98"/>
      <c r="Z13" s="98"/>
      <c r="AA13" s="96" t="s">
        <v>424</v>
      </c>
      <c r="AB13" s="96" t="s">
        <v>424</v>
      </c>
      <c r="AC13" s="98"/>
      <c r="AD13" s="96" t="s">
        <v>424</v>
      </c>
      <c r="AE13" s="96" t="s">
        <v>424</v>
      </c>
      <c r="AF13" s="96" t="s">
        <v>426</v>
      </c>
      <c r="AG13" s="96" t="s">
        <v>424</v>
      </c>
      <c r="AH13" s="98"/>
      <c r="AI13" s="96" t="s">
        <v>424</v>
      </c>
      <c r="AJ13" s="96" t="s">
        <v>424</v>
      </c>
      <c r="AK13" s="96" t="s">
        <v>424</v>
      </c>
      <c r="AL13" s="96" t="s">
        <v>427</v>
      </c>
      <c r="AM13" s="96" t="s">
        <v>424</v>
      </c>
      <c r="AN13" s="96" t="s">
        <v>428</v>
      </c>
      <c r="AO13" s="96" t="s">
        <v>429</v>
      </c>
    </row>
    <row r="14" spans="4:41" ht="12.75" customHeight="1">
      <c r="D14" s="88">
        <f t="shared" si="0"/>
        <v>0.12</v>
      </c>
      <c r="E14" s="89" t="s">
        <v>376</v>
      </c>
      <c r="I14" s="96" t="s">
        <v>418</v>
      </c>
      <c r="J14" s="96" t="s">
        <v>419</v>
      </c>
      <c r="K14" s="96" t="s">
        <v>420</v>
      </c>
      <c r="L14" s="96" t="s">
        <v>434</v>
      </c>
      <c r="M14" s="96" t="s">
        <v>422</v>
      </c>
      <c r="N14" s="96" t="s">
        <v>431</v>
      </c>
      <c r="O14" s="96" t="s">
        <v>424</v>
      </c>
      <c r="P14" s="96" t="s">
        <v>434</v>
      </c>
      <c r="Q14" s="97">
        <v>20050101</v>
      </c>
      <c r="R14" s="97">
        <v>20051231</v>
      </c>
      <c r="S14" s="98"/>
      <c r="T14" s="98"/>
      <c r="U14" s="96" t="s">
        <v>424</v>
      </c>
      <c r="V14" s="97">
        <v>0.12</v>
      </c>
      <c r="W14" s="96" t="s">
        <v>376</v>
      </c>
      <c r="X14" s="96" t="s">
        <v>425</v>
      </c>
      <c r="Y14" s="98"/>
      <c r="Z14" s="98"/>
      <c r="AA14" s="96" t="s">
        <v>424</v>
      </c>
      <c r="AB14" s="96" t="s">
        <v>424</v>
      </c>
      <c r="AC14" s="98"/>
      <c r="AD14" s="96" t="s">
        <v>424</v>
      </c>
      <c r="AE14" s="96" t="s">
        <v>424</v>
      </c>
      <c r="AF14" s="96" t="s">
        <v>426</v>
      </c>
      <c r="AG14" s="96" t="s">
        <v>424</v>
      </c>
      <c r="AH14" s="98"/>
      <c r="AI14" s="96" t="s">
        <v>424</v>
      </c>
      <c r="AJ14" s="96" t="s">
        <v>424</v>
      </c>
      <c r="AK14" s="96" t="s">
        <v>424</v>
      </c>
      <c r="AL14" s="96" t="s">
        <v>427</v>
      </c>
      <c r="AM14" s="96" t="s">
        <v>424</v>
      </c>
      <c r="AN14" s="96" t="s">
        <v>428</v>
      </c>
      <c r="AO14" s="96" t="s">
        <v>429</v>
      </c>
    </row>
    <row r="15" spans="4:41" ht="12.75" customHeight="1">
      <c r="D15" s="88">
        <f t="shared" si="0"/>
        <v>0.0007</v>
      </c>
      <c r="E15" s="89" t="s">
        <v>376</v>
      </c>
      <c r="I15" s="96" t="s">
        <v>418</v>
      </c>
      <c r="J15" s="96" t="s">
        <v>419</v>
      </c>
      <c r="K15" s="96" t="s">
        <v>420</v>
      </c>
      <c r="L15" s="96" t="s">
        <v>421</v>
      </c>
      <c r="M15" s="96" t="s">
        <v>422</v>
      </c>
      <c r="N15" s="96" t="s">
        <v>431</v>
      </c>
      <c r="O15" s="96" t="s">
        <v>424</v>
      </c>
      <c r="P15" s="96" t="s">
        <v>421</v>
      </c>
      <c r="Q15" s="97">
        <v>20050101</v>
      </c>
      <c r="R15" s="97">
        <v>20051231</v>
      </c>
      <c r="S15" s="98"/>
      <c r="T15" s="98"/>
      <c r="U15" s="96" t="s">
        <v>424</v>
      </c>
      <c r="V15" s="97">
        <v>0.0007</v>
      </c>
      <c r="W15" s="96" t="s">
        <v>376</v>
      </c>
      <c r="X15" s="96" t="s">
        <v>425</v>
      </c>
      <c r="Y15" s="98"/>
      <c r="Z15" s="98"/>
      <c r="AA15" s="96" t="s">
        <v>424</v>
      </c>
      <c r="AB15" s="96" t="s">
        <v>424</v>
      </c>
      <c r="AC15" s="98"/>
      <c r="AD15" s="96" t="s">
        <v>424</v>
      </c>
      <c r="AE15" s="96" t="s">
        <v>424</v>
      </c>
      <c r="AF15" s="96" t="s">
        <v>426</v>
      </c>
      <c r="AG15" s="96" t="s">
        <v>424</v>
      </c>
      <c r="AH15" s="98"/>
      <c r="AI15" s="96" t="s">
        <v>424</v>
      </c>
      <c r="AJ15" s="96" t="s">
        <v>424</v>
      </c>
      <c r="AK15" s="96" t="s">
        <v>424</v>
      </c>
      <c r="AL15" s="96" t="s">
        <v>427</v>
      </c>
      <c r="AM15" s="96" t="s">
        <v>424</v>
      </c>
      <c r="AN15" s="96" t="s">
        <v>428</v>
      </c>
      <c r="AO15" s="96" t="s">
        <v>429</v>
      </c>
    </row>
    <row r="16" spans="4:41" ht="12.75" customHeight="1">
      <c r="D16" s="88">
        <f t="shared" si="0"/>
        <v>0.09</v>
      </c>
      <c r="E16" s="89" t="s">
        <v>376</v>
      </c>
      <c r="I16" s="96" t="s">
        <v>418</v>
      </c>
      <c r="J16" s="96" t="s">
        <v>419</v>
      </c>
      <c r="K16" s="96" t="s">
        <v>420</v>
      </c>
      <c r="L16" s="96" t="s">
        <v>434</v>
      </c>
      <c r="M16" s="96" t="s">
        <v>422</v>
      </c>
      <c r="N16" s="96" t="s">
        <v>423</v>
      </c>
      <c r="O16" s="96" t="s">
        <v>424</v>
      </c>
      <c r="P16" s="96" t="s">
        <v>434</v>
      </c>
      <c r="Q16" s="97">
        <v>20050101</v>
      </c>
      <c r="R16" s="97">
        <v>20051231</v>
      </c>
      <c r="S16" s="98"/>
      <c r="T16" s="98"/>
      <c r="U16" s="96" t="s">
        <v>424</v>
      </c>
      <c r="V16" s="97">
        <v>0.09</v>
      </c>
      <c r="W16" s="96" t="s">
        <v>376</v>
      </c>
      <c r="X16" s="96" t="s">
        <v>425</v>
      </c>
      <c r="Y16" s="98"/>
      <c r="Z16" s="98"/>
      <c r="AA16" s="96" t="s">
        <v>424</v>
      </c>
      <c r="AB16" s="96" t="s">
        <v>424</v>
      </c>
      <c r="AC16" s="98"/>
      <c r="AD16" s="96" t="s">
        <v>424</v>
      </c>
      <c r="AE16" s="96" t="s">
        <v>424</v>
      </c>
      <c r="AF16" s="96" t="s">
        <v>426</v>
      </c>
      <c r="AG16" s="96" t="s">
        <v>424</v>
      </c>
      <c r="AH16" s="98"/>
      <c r="AI16" s="96" t="s">
        <v>424</v>
      </c>
      <c r="AJ16" s="96" t="s">
        <v>424</v>
      </c>
      <c r="AK16" s="96" t="s">
        <v>424</v>
      </c>
      <c r="AL16" s="96" t="s">
        <v>427</v>
      </c>
      <c r="AM16" s="96" t="s">
        <v>424</v>
      </c>
      <c r="AN16" s="96" t="s">
        <v>428</v>
      </c>
      <c r="AO16" s="96" t="s">
        <v>429</v>
      </c>
    </row>
    <row r="17" ht="12.75" customHeight="1"/>
    <row r="19" spans="3:5" ht="25.5">
      <c r="C19" s="47" t="s">
        <v>377</v>
      </c>
      <c r="D19" s="69">
        <f>SUM(D7:D16)</f>
        <v>7.393299999999999</v>
      </c>
      <c r="E19" s="90" t="s">
        <v>378</v>
      </c>
    </row>
    <row r="21" spans="3:7" ht="12.75">
      <c r="C21" s="59" t="s">
        <v>443</v>
      </c>
      <c r="D21" s="59">
        <f>D19/'Mine Prod'!B5</f>
        <v>1.230949404254986E-06</v>
      </c>
      <c r="E21" s="59" t="s">
        <v>444</v>
      </c>
      <c r="F21" s="59"/>
      <c r="G21" s="59"/>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Sheet9"/>
  <dimension ref="A1:AL8"/>
  <sheetViews>
    <sheetView zoomScalePageLayoutView="0" workbookViewId="0" topLeftCell="A1">
      <selection activeCell="A1" sqref="A1"/>
    </sheetView>
  </sheetViews>
  <sheetFormatPr defaultColWidth="9.140625" defaultRowHeight="12.75"/>
  <sheetData>
    <row r="1" spans="1:38" ht="20.25">
      <c r="A1" s="49"/>
      <c r="B1" s="49"/>
      <c r="C1" s="49"/>
      <c r="D1" s="49"/>
      <c r="E1" s="49"/>
      <c r="F1" s="49"/>
      <c r="G1" s="49"/>
      <c r="H1" s="161" t="s">
        <v>620</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4" customFormat="1" ht="20.25">
      <c r="A2" s="158" t="s">
        <v>587</v>
      </c>
      <c r="B2" s="158"/>
      <c r="C2" s="158"/>
      <c r="D2" s="158"/>
      <c r="E2" s="158"/>
      <c r="F2" s="158"/>
      <c r="G2" s="158"/>
      <c r="H2" s="158"/>
      <c r="I2" s="158" t="s">
        <v>91</v>
      </c>
    </row>
    <row r="3" ht="12.75">
      <c r="I3" s="47" t="s">
        <v>621</v>
      </c>
    </row>
    <row r="4" spans="1:9" ht="12.75">
      <c r="A4" s="1" t="s">
        <v>157</v>
      </c>
      <c r="B4" s="1" t="s">
        <v>619</v>
      </c>
      <c r="I4" s="1" t="s">
        <v>303</v>
      </c>
    </row>
    <row r="5" spans="1:2" ht="12.75">
      <c r="A5">
        <v>2005</v>
      </c>
      <c r="B5">
        <v>6006177</v>
      </c>
    </row>
    <row r="6" spans="1:2" ht="12.75">
      <c r="A6">
        <v>2006</v>
      </c>
      <c r="B6">
        <v>7216045</v>
      </c>
    </row>
    <row r="7" spans="1:2" ht="12.75">
      <c r="A7">
        <v>2007</v>
      </c>
      <c r="B7">
        <v>6615830</v>
      </c>
    </row>
    <row r="8" spans="1:2" ht="12.75">
      <c r="A8" s="53" t="s">
        <v>304</v>
      </c>
      <c r="B8" s="53">
        <f>AVERAGE(B5:B7)</f>
        <v>6612684</v>
      </c>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0"/>
  <dimension ref="A1:BZ62"/>
  <sheetViews>
    <sheetView zoomScalePageLayoutView="0" workbookViewId="0" topLeftCell="A1">
      <selection activeCell="A1" sqref="A1"/>
    </sheetView>
  </sheetViews>
  <sheetFormatPr defaultColWidth="9.140625" defaultRowHeight="12.75"/>
  <cols>
    <col min="3" max="3" width="10.140625" style="0" bestFit="1" customWidth="1"/>
    <col min="5" max="5" width="10.140625" style="0" bestFit="1" customWidth="1"/>
  </cols>
  <sheetData>
    <row r="1" spans="1:38" ht="20.25">
      <c r="A1" s="49"/>
      <c r="B1" s="49"/>
      <c r="C1" s="49"/>
      <c r="D1" s="49"/>
      <c r="E1" s="49"/>
      <c r="F1" s="49"/>
      <c r="G1" s="49"/>
      <c r="H1" s="161" t="s">
        <v>622</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38" ht="20.25">
      <c r="A2" s="314" t="s">
        <v>759</v>
      </c>
      <c r="B2" s="49"/>
      <c r="C2" s="49"/>
      <c r="D2" s="49"/>
      <c r="E2" s="49"/>
      <c r="F2" s="49"/>
      <c r="G2" s="49"/>
      <c r="H2" s="161"/>
      <c r="N2" s="49"/>
      <c r="O2" s="49"/>
      <c r="P2" s="49"/>
      <c r="Q2" s="49"/>
      <c r="R2" s="49"/>
      <c r="S2" s="49"/>
      <c r="T2" s="49"/>
      <c r="U2" s="49"/>
      <c r="V2" s="49"/>
      <c r="W2" s="49"/>
      <c r="X2" s="49"/>
      <c r="Y2" s="49"/>
      <c r="Z2" s="49"/>
      <c r="AA2" s="49"/>
      <c r="AB2" s="49"/>
      <c r="AC2" s="49"/>
      <c r="AD2" s="49"/>
      <c r="AE2" s="49"/>
      <c r="AF2" s="49"/>
      <c r="AG2" s="49"/>
      <c r="AH2" s="49"/>
      <c r="AI2" s="49"/>
      <c r="AJ2" s="49"/>
      <c r="AK2" s="49"/>
      <c r="AL2" s="49"/>
    </row>
    <row r="3" spans="1:9" s="164" customFormat="1" ht="20.25">
      <c r="A3" s="158" t="s">
        <v>587</v>
      </c>
      <c r="B3" s="158"/>
      <c r="C3" s="158"/>
      <c r="D3" s="158"/>
      <c r="E3" s="158"/>
      <c r="F3" s="158"/>
      <c r="G3" s="158"/>
      <c r="H3" s="158"/>
      <c r="I3" s="158" t="s">
        <v>91</v>
      </c>
    </row>
    <row r="4" spans="1:14" s="164" customFormat="1" ht="12.75" customHeight="1">
      <c r="A4" s="46"/>
      <c r="B4" s="45"/>
      <c r="C4" s="45"/>
      <c r="D4" s="45"/>
      <c r="E4" s="45"/>
      <c r="F4" s="45"/>
      <c r="G4" s="45"/>
      <c r="H4" s="45"/>
      <c r="I4" s="45"/>
      <c r="J4" s="45"/>
      <c r="K4" s="45"/>
      <c r="L4" s="45"/>
      <c r="M4" s="45"/>
      <c r="N4" s="45"/>
    </row>
    <row r="5" spans="1:14" s="164" customFormat="1" ht="12.75" customHeight="1">
      <c r="A5" s="45"/>
      <c r="B5" s="45"/>
      <c r="C5" s="45"/>
      <c r="D5" s="45"/>
      <c r="E5" s="45"/>
      <c r="F5" s="45"/>
      <c r="G5" s="45"/>
      <c r="H5" s="45"/>
      <c r="I5" s="45"/>
      <c r="J5" s="45"/>
      <c r="K5" s="45"/>
      <c r="L5" s="45"/>
      <c r="M5" s="45"/>
      <c r="N5" s="45"/>
    </row>
    <row r="6" spans="1:14" s="164" customFormat="1" ht="12.75" customHeight="1">
      <c r="A6" s="45"/>
      <c r="B6" s="45"/>
      <c r="C6" s="45"/>
      <c r="D6" s="45"/>
      <c r="E6" s="45"/>
      <c r="F6" s="45"/>
      <c r="G6" s="45"/>
      <c r="H6" s="45"/>
      <c r="I6" s="45"/>
      <c r="J6" s="45"/>
      <c r="K6" s="45"/>
      <c r="L6" s="45"/>
      <c r="M6" s="45"/>
      <c r="N6" s="45"/>
    </row>
    <row r="7" spans="1:14" s="164" customFormat="1" ht="12.75" customHeight="1">
      <c r="A7" s="45"/>
      <c r="B7" s="45"/>
      <c r="C7" s="45"/>
      <c r="D7" s="45"/>
      <c r="E7" s="45"/>
      <c r="F7" s="45"/>
      <c r="G7" s="45"/>
      <c r="H7" s="45"/>
      <c r="I7" s="45"/>
      <c r="J7" s="45"/>
      <c r="K7" s="45"/>
      <c r="L7" s="45"/>
      <c r="M7" s="45"/>
      <c r="N7" s="45"/>
    </row>
    <row r="8" spans="1:14" s="164" customFormat="1" ht="12.75" customHeight="1">
      <c r="A8" s="45"/>
      <c r="B8" s="45"/>
      <c r="C8" s="45"/>
      <c r="D8" s="45"/>
      <c r="E8" s="45"/>
      <c r="F8" s="45"/>
      <c r="G8" s="45"/>
      <c r="H8" s="45"/>
      <c r="I8" s="45"/>
      <c r="J8" s="45"/>
      <c r="K8" s="45"/>
      <c r="L8" s="45"/>
      <c r="M8" s="45"/>
      <c r="N8" s="45"/>
    </row>
    <row r="9" spans="1:14" s="164" customFormat="1" ht="12.75" customHeight="1">
      <c r="A9" s="45"/>
      <c r="B9" s="45"/>
      <c r="C9" s="45"/>
      <c r="D9" s="45"/>
      <c r="E9" s="45"/>
      <c r="F9" s="45"/>
      <c r="G9" s="45"/>
      <c r="H9" s="45"/>
      <c r="I9" s="45"/>
      <c r="J9" s="45"/>
      <c r="K9" s="45"/>
      <c r="L9" s="45"/>
      <c r="M9" s="45"/>
      <c r="N9" s="45"/>
    </row>
    <row r="10" spans="1:14" s="164" customFormat="1" ht="12.75" customHeight="1">
      <c r="A10" s="45"/>
      <c r="B10" s="45"/>
      <c r="C10" s="45"/>
      <c r="D10" s="45"/>
      <c r="E10" s="45"/>
      <c r="F10" s="45"/>
      <c r="G10" s="45"/>
      <c r="H10" s="45"/>
      <c r="I10" s="45"/>
      <c r="J10" s="45"/>
      <c r="K10" s="45"/>
      <c r="L10" s="45"/>
      <c r="M10" s="45"/>
      <c r="N10" s="45"/>
    </row>
    <row r="11" spans="1:14" s="164" customFormat="1" ht="12.75" customHeight="1">
      <c r="A11" s="45"/>
      <c r="B11" s="45"/>
      <c r="C11" s="45"/>
      <c r="D11" s="45"/>
      <c r="E11" s="45"/>
      <c r="F11" s="45"/>
      <c r="G11" s="45"/>
      <c r="H11" s="45"/>
      <c r="I11" s="45"/>
      <c r="J11" s="45"/>
      <c r="K11" s="45"/>
      <c r="L11" s="45"/>
      <c r="M11" s="45"/>
      <c r="N11" s="45"/>
    </row>
    <row r="12" spans="1:14" s="164" customFormat="1" ht="12.75" customHeight="1">
      <c r="A12" s="45"/>
      <c r="B12" s="45"/>
      <c r="C12" s="45"/>
      <c r="D12" s="45"/>
      <c r="E12" s="45"/>
      <c r="F12" s="45"/>
      <c r="G12" s="45"/>
      <c r="H12" s="45"/>
      <c r="I12" s="45"/>
      <c r="J12" s="45"/>
      <c r="K12" s="45"/>
      <c r="L12" s="45"/>
      <c r="M12" s="45"/>
      <c r="N12" s="45"/>
    </row>
    <row r="13" spans="1:14" s="164" customFormat="1" ht="12.75" customHeight="1">
      <c r="A13" s="45"/>
      <c r="B13" s="45"/>
      <c r="C13" s="45"/>
      <c r="D13" s="45"/>
      <c r="E13" s="45"/>
      <c r="F13" s="45"/>
      <c r="G13" s="45"/>
      <c r="H13" s="45"/>
      <c r="I13" s="45"/>
      <c r="J13" s="45"/>
      <c r="K13" s="45"/>
      <c r="L13" s="45"/>
      <c r="M13" s="45"/>
      <c r="N13" s="45"/>
    </row>
    <row r="14" spans="1:14" s="164" customFormat="1" ht="12.75" customHeight="1">
      <c r="A14" s="45"/>
      <c r="B14" s="45"/>
      <c r="C14" s="45"/>
      <c r="D14" s="45"/>
      <c r="E14" s="45"/>
      <c r="F14" s="45"/>
      <c r="G14" s="45"/>
      <c r="H14" s="45"/>
      <c r="I14" s="45"/>
      <c r="J14" s="45"/>
      <c r="K14" s="45"/>
      <c r="L14" s="45"/>
      <c r="M14" s="45"/>
      <c r="N14" s="45"/>
    </row>
    <row r="15" spans="1:14" s="164" customFormat="1" ht="12.75" customHeight="1">
      <c r="A15" s="45"/>
      <c r="B15" s="45"/>
      <c r="C15" s="45"/>
      <c r="D15" s="45"/>
      <c r="E15" s="45"/>
      <c r="F15" s="45"/>
      <c r="G15" s="45"/>
      <c r="H15" s="45"/>
      <c r="I15" s="45"/>
      <c r="J15" s="45"/>
      <c r="K15" s="45"/>
      <c r="L15" s="45"/>
      <c r="M15" s="45"/>
      <c r="N15" s="45"/>
    </row>
    <row r="16" spans="1:14" s="164" customFormat="1" ht="12.75" customHeight="1">
      <c r="A16" s="45"/>
      <c r="B16" s="45"/>
      <c r="C16" s="45"/>
      <c r="D16" s="45"/>
      <c r="E16" s="45"/>
      <c r="F16" s="45"/>
      <c r="G16" s="45"/>
      <c r="H16" s="45"/>
      <c r="I16" s="45"/>
      <c r="J16" s="45"/>
      <c r="K16" s="45"/>
      <c r="L16" s="45"/>
      <c r="M16" s="45"/>
      <c r="N16" s="45"/>
    </row>
    <row r="17" spans="1:14" s="164" customFormat="1" ht="12.75" customHeight="1">
      <c r="A17" s="45"/>
      <c r="B17" s="45"/>
      <c r="C17" s="45"/>
      <c r="D17" s="45"/>
      <c r="E17" s="45"/>
      <c r="F17" s="45"/>
      <c r="G17" s="45"/>
      <c r="H17" s="45"/>
      <c r="I17" s="45"/>
      <c r="J17" s="45"/>
      <c r="K17" s="45"/>
      <c r="L17" s="45"/>
      <c r="M17" s="45"/>
      <c r="N17" s="45"/>
    </row>
    <row r="18" spans="1:14" s="164" customFormat="1" ht="12.75" customHeight="1">
      <c r="A18" s="45"/>
      <c r="B18" s="45"/>
      <c r="C18" s="45"/>
      <c r="D18" s="45"/>
      <c r="E18" s="45"/>
      <c r="F18" s="45"/>
      <c r="G18" s="45"/>
      <c r="H18" s="45"/>
      <c r="I18" s="45"/>
      <c r="J18" s="45"/>
      <c r="K18" s="45"/>
      <c r="L18" s="45"/>
      <c r="M18" s="45"/>
      <c r="N18" s="45"/>
    </row>
    <row r="19" spans="1:14" s="164" customFormat="1" ht="12.75" customHeight="1">
      <c r="A19" s="45"/>
      <c r="B19" s="45"/>
      <c r="C19" s="45"/>
      <c r="D19" s="45"/>
      <c r="E19" s="45"/>
      <c r="F19" s="45"/>
      <c r="G19" s="45"/>
      <c r="H19" s="45"/>
      <c r="I19" s="45"/>
      <c r="J19" s="45"/>
      <c r="K19" s="45"/>
      <c r="L19" s="45"/>
      <c r="M19" s="45"/>
      <c r="N19" s="45"/>
    </row>
    <row r="20" ht="12.75">
      <c r="A20" s="1" t="s">
        <v>540</v>
      </c>
    </row>
    <row r="23" spans="3:9" ht="12.75">
      <c r="C23" s="94" t="s">
        <v>213</v>
      </c>
      <c r="D23" s="94"/>
      <c r="E23" s="94" t="s">
        <v>214</v>
      </c>
      <c r="F23" s="94"/>
      <c r="G23" s="94" t="s">
        <v>215</v>
      </c>
      <c r="H23" s="94"/>
      <c r="I23" s="94" t="s">
        <v>455</v>
      </c>
    </row>
    <row r="24" spans="3:7" ht="12.75">
      <c r="C24" s="102" t="s">
        <v>216</v>
      </c>
      <c r="D24" s="102"/>
      <c r="E24" s="102" t="s">
        <v>217</v>
      </c>
      <c r="F24" s="102"/>
      <c r="G24" s="102" t="s">
        <v>218</v>
      </c>
    </row>
    <row r="25" spans="2:9" ht="12.75">
      <c r="B25" t="s">
        <v>219</v>
      </c>
      <c r="C25" s="99">
        <v>1500000</v>
      </c>
      <c r="D25" s="99"/>
      <c r="E25" s="99">
        <v>6612684</v>
      </c>
      <c r="G25" s="181">
        <f>C25*365*Conversions!D10/E25/Conversions!D8</f>
        <v>0.3454806650864052</v>
      </c>
      <c r="I25" s="47" t="s">
        <v>623</v>
      </c>
    </row>
    <row r="26" spans="2:9" ht="12.75">
      <c r="B26" t="s">
        <v>220</v>
      </c>
      <c r="C26" s="99">
        <f>AZ36*10^6</f>
        <v>7800000</v>
      </c>
      <c r="D26" s="99"/>
      <c r="E26" s="99">
        <v>42686000</v>
      </c>
      <c r="G26">
        <f>C26*365*Conversions!D10/E26/Conversions!D8</f>
        <v>0.278303969097512</v>
      </c>
      <c r="I26" s="47" t="s">
        <v>624</v>
      </c>
    </row>
    <row r="27" spans="2:9" ht="12.75">
      <c r="B27" t="s">
        <v>557</v>
      </c>
      <c r="G27">
        <f>200/1000</f>
        <v>0.2</v>
      </c>
      <c r="I27" s="47" t="s">
        <v>625</v>
      </c>
    </row>
    <row r="30" ht="12.75">
      <c r="I30" s="54" t="s">
        <v>626</v>
      </c>
    </row>
    <row r="31" ht="12.75">
      <c r="I31" s="47" t="s">
        <v>628</v>
      </c>
    </row>
    <row r="32" spans="9:78" ht="12.75">
      <c r="I32" s="178" t="s">
        <v>298</v>
      </c>
      <c r="J32" s="50"/>
      <c r="K32" s="50"/>
      <c r="L32" s="51"/>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row>
    <row r="33" spans="9:78" ht="12.75">
      <c r="I33" s="51" t="s">
        <v>627</v>
      </c>
      <c r="J33" s="50"/>
      <c r="K33" s="50"/>
      <c r="L33" s="51"/>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c r="BC33" s="52"/>
      <c r="BD33" s="52"/>
      <c r="BE33" s="52"/>
      <c r="BF33" s="52"/>
      <c r="BG33" s="52"/>
      <c r="BH33" s="52"/>
      <c r="BI33" s="52"/>
      <c r="BJ33" s="52"/>
      <c r="BK33" s="52"/>
      <c r="BL33" s="52"/>
      <c r="BM33" s="52"/>
      <c r="BN33" s="52"/>
      <c r="BO33" s="52"/>
      <c r="BP33" s="52"/>
      <c r="BQ33" s="52"/>
      <c r="BR33" s="52"/>
      <c r="BS33" s="52"/>
      <c r="BT33" s="52"/>
      <c r="BU33" s="52"/>
      <c r="BV33" s="52"/>
      <c r="BW33" s="52"/>
      <c r="BX33" s="52"/>
      <c r="BY33" s="52"/>
      <c r="BZ33" s="52"/>
    </row>
    <row r="34" spans="9:78" ht="12.75">
      <c r="I34" s="50"/>
      <c r="J34" s="50"/>
      <c r="K34" s="50"/>
      <c r="L34" s="51"/>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row>
    <row r="35" spans="9:78" ht="12.75">
      <c r="I35" s="50" t="s">
        <v>221</v>
      </c>
      <c r="J35" s="50" t="s">
        <v>222</v>
      </c>
      <c r="K35" s="50" t="s">
        <v>223</v>
      </c>
      <c r="L35" s="51" t="s">
        <v>224</v>
      </c>
      <c r="M35" s="52" t="s">
        <v>225</v>
      </c>
      <c r="N35" s="52" t="s">
        <v>226</v>
      </c>
      <c r="O35" s="52" t="s">
        <v>227</v>
      </c>
      <c r="P35" s="52" t="s">
        <v>228</v>
      </c>
      <c r="Q35" s="52" t="s">
        <v>229</v>
      </c>
      <c r="R35" s="52" t="s">
        <v>230</v>
      </c>
      <c r="S35" s="52" t="s">
        <v>231</v>
      </c>
      <c r="T35" s="52" t="s">
        <v>232</v>
      </c>
      <c r="U35" s="52" t="s">
        <v>233</v>
      </c>
      <c r="V35" s="52" t="s">
        <v>234</v>
      </c>
      <c r="W35" s="52" t="s">
        <v>235</v>
      </c>
      <c r="X35" s="52" t="s">
        <v>236</v>
      </c>
      <c r="Y35" s="52" t="s">
        <v>237</v>
      </c>
      <c r="Z35" s="52" t="s">
        <v>238</v>
      </c>
      <c r="AA35" s="52" t="s">
        <v>239</v>
      </c>
      <c r="AB35" s="52" t="s">
        <v>240</v>
      </c>
      <c r="AC35" s="52" t="s">
        <v>241</v>
      </c>
      <c r="AD35" s="52" t="s">
        <v>242</v>
      </c>
      <c r="AE35" s="52" t="s">
        <v>243</v>
      </c>
      <c r="AF35" s="52" t="s">
        <v>244</v>
      </c>
      <c r="AG35" s="52" t="s">
        <v>245</v>
      </c>
      <c r="AH35" s="52" t="s">
        <v>246</v>
      </c>
      <c r="AI35" s="52" t="s">
        <v>247</v>
      </c>
      <c r="AJ35" s="52" t="s">
        <v>248</v>
      </c>
      <c r="AK35" s="52" t="s">
        <v>249</v>
      </c>
      <c r="AL35" s="52" t="s">
        <v>250</v>
      </c>
      <c r="AM35" s="52" t="s">
        <v>251</v>
      </c>
      <c r="AN35" s="52" t="s">
        <v>252</v>
      </c>
      <c r="AO35" s="52" t="s">
        <v>253</v>
      </c>
      <c r="AP35" s="52" t="s">
        <v>254</v>
      </c>
      <c r="AQ35" s="52" t="s">
        <v>255</v>
      </c>
      <c r="AR35" s="52" t="s">
        <v>256</v>
      </c>
      <c r="AS35" s="52" t="s">
        <v>257</v>
      </c>
      <c r="AT35" s="52" t="s">
        <v>258</v>
      </c>
      <c r="AU35" s="52" t="s">
        <v>259</v>
      </c>
      <c r="AV35" s="52" t="s">
        <v>260</v>
      </c>
      <c r="AW35" s="52" t="s">
        <v>261</v>
      </c>
      <c r="AX35" s="52" t="s">
        <v>262</v>
      </c>
      <c r="AY35" s="52" t="s">
        <v>263</v>
      </c>
      <c r="AZ35" s="52" t="s">
        <v>264</v>
      </c>
      <c r="BA35" s="52" t="s">
        <v>265</v>
      </c>
      <c r="BB35" s="52" t="s">
        <v>266</v>
      </c>
      <c r="BC35" s="52" t="s">
        <v>267</v>
      </c>
      <c r="BD35" s="52" t="s">
        <v>268</v>
      </c>
      <c r="BE35" s="52" t="s">
        <v>269</v>
      </c>
      <c r="BF35" s="52" t="s">
        <v>270</v>
      </c>
      <c r="BG35" s="52" t="s">
        <v>271</v>
      </c>
      <c r="BH35" s="52" t="s">
        <v>272</v>
      </c>
      <c r="BI35" s="52" t="s">
        <v>273</v>
      </c>
      <c r="BJ35" s="52" t="s">
        <v>274</v>
      </c>
      <c r="BK35" s="52" t="s">
        <v>275</v>
      </c>
      <c r="BL35" s="52" t="s">
        <v>276</v>
      </c>
      <c r="BM35" s="52" t="s">
        <v>277</v>
      </c>
      <c r="BN35" s="52" t="s">
        <v>278</v>
      </c>
      <c r="BO35" s="52" t="s">
        <v>279</v>
      </c>
      <c r="BP35" s="52" t="s">
        <v>280</v>
      </c>
      <c r="BQ35" s="52" t="s">
        <v>281</v>
      </c>
      <c r="BR35" s="52" t="s">
        <v>282</v>
      </c>
      <c r="BS35" s="52" t="s">
        <v>283</v>
      </c>
      <c r="BT35" s="52" t="s">
        <v>284</v>
      </c>
      <c r="BU35" s="52" t="s">
        <v>285</v>
      </c>
      <c r="BV35" s="52" t="s">
        <v>286</v>
      </c>
      <c r="BW35" s="52" t="s">
        <v>287</v>
      </c>
      <c r="BX35" s="52" t="s">
        <v>288</v>
      </c>
      <c r="BY35" s="52" t="s">
        <v>289</v>
      </c>
      <c r="BZ35" s="52" t="s">
        <v>290</v>
      </c>
    </row>
    <row r="36" spans="9:78" ht="12.75">
      <c r="I36" s="52" t="s">
        <v>291</v>
      </c>
      <c r="J36" s="52" t="s">
        <v>292</v>
      </c>
      <c r="K36" s="52" t="s">
        <v>296</v>
      </c>
      <c r="L36" s="54" t="s">
        <v>297</v>
      </c>
      <c r="M36" s="52">
        <v>40.67</v>
      </c>
      <c r="N36" s="52"/>
      <c r="O36" s="52">
        <v>0</v>
      </c>
      <c r="P36" s="52">
        <v>0.8</v>
      </c>
      <c r="Q36" s="52">
        <v>0.8</v>
      </c>
      <c r="R36" s="52"/>
      <c r="S36" s="52"/>
      <c r="T36" s="52"/>
      <c r="U36" s="52"/>
      <c r="V36" s="52">
        <v>0</v>
      </c>
      <c r="W36" s="52">
        <v>0</v>
      </c>
      <c r="X36" s="52">
        <v>0</v>
      </c>
      <c r="Y36" s="52">
        <v>0.01</v>
      </c>
      <c r="Z36" s="52">
        <v>0</v>
      </c>
      <c r="AA36" s="52">
        <v>0.01</v>
      </c>
      <c r="AB36" s="52">
        <v>0.01</v>
      </c>
      <c r="AC36" s="52">
        <v>0</v>
      </c>
      <c r="AD36" s="52">
        <v>0.01</v>
      </c>
      <c r="AE36" s="52">
        <v>0.02</v>
      </c>
      <c r="AF36" s="52">
        <v>0.01</v>
      </c>
      <c r="AG36" s="52">
        <v>0</v>
      </c>
      <c r="AH36" s="52">
        <v>0.03</v>
      </c>
      <c r="AI36" s="52">
        <v>0</v>
      </c>
      <c r="AJ36" s="52">
        <v>0.01</v>
      </c>
      <c r="AK36" s="52">
        <v>0.01</v>
      </c>
      <c r="AL36" s="52"/>
      <c r="AM36" s="52"/>
      <c r="AN36" s="52"/>
      <c r="AO36" s="52"/>
      <c r="AP36" s="52"/>
      <c r="AQ36" s="52"/>
      <c r="AR36" s="52">
        <v>4.43</v>
      </c>
      <c r="AS36" s="52">
        <v>0</v>
      </c>
      <c r="AT36" s="52">
        <v>4.43</v>
      </c>
      <c r="AU36" s="52">
        <v>3.37</v>
      </c>
      <c r="AV36" s="52">
        <v>0</v>
      </c>
      <c r="AW36" s="52">
        <v>3.37</v>
      </c>
      <c r="AX36" s="52">
        <v>7.8</v>
      </c>
      <c r="AY36" s="52">
        <v>0</v>
      </c>
      <c r="AZ36" s="179">
        <v>7.8</v>
      </c>
      <c r="BA36" s="52">
        <v>0</v>
      </c>
      <c r="BB36" s="52">
        <v>12.28</v>
      </c>
      <c r="BC36" s="52">
        <v>0</v>
      </c>
      <c r="BD36" s="52">
        <v>12.28</v>
      </c>
      <c r="BE36" s="52">
        <v>12.28</v>
      </c>
      <c r="BF36" s="52">
        <v>0</v>
      </c>
      <c r="BG36" s="52">
        <v>12.28</v>
      </c>
      <c r="BH36" s="52">
        <v>0</v>
      </c>
      <c r="BI36" s="52">
        <v>0</v>
      </c>
      <c r="BJ36" s="52">
        <v>0</v>
      </c>
      <c r="BK36" s="52">
        <v>0</v>
      </c>
      <c r="BL36" s="52">
        <v>12.28</v>
      </c>
      <c r="BM36" s="52">
        <v>0</v>
      </c>
      <c r="BN36" s="52">
        <v>12.28</v>
      </c>
      <c r="BO36" s="52">
        <v>12.28</v>
      </c>
      <c r="BP36" s="52">
        <v>0</v>
      </c>
      <c r="BQ36" s="52">
        <v>12.28</v>
      </c>
      <c r="BR36" s="52"/>
      <c r="BS36" s="52">
        <v>0</v>
      </c>
      <c r="BT36" s="52"/>
      <c r="BU36" s="52"/>
      <c r="BV36" s="52">
        <v>0</v>
      </c>
      <c r="BW36" s="52"/>
      <c r="BX36" s="52"/>
      <c r="BY36" s="52">
        <v>0</v>
      </c>
      <c r="BZ36" s="52"/>
    </row>
    <row r="37" spans="9:78" ht="12.75">
      <c r="I37" s="50"/>
      <c r="J37" s="50"/>
      <c r="K37" s="50"/>
      <c r="L37" s="51"/>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2"/>
      <c r="BS37" s="52"/>
      <c r="BT37" s="52"/>
      <c r="BU37" s="52"/>
      <c r="BV37" s="52"/>
      <c r="BW37" s="52"/>
      <c r="BX37" s="52"/>
      <c r="BY37" s="52"/>
      <c r="BZ37" s="52"/>
    </row>
    <row r="38" spans="9:78" ht="12.75">
      <c r="I38" s="50"/>
      <c r="J38" s="50"/>
      <c r="K38" s="50"/>
      <c r="L38" s="51"/>
      <c r="M38" s="52"/>
      <c r="N38" s="55"/>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0"/>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row>
    <row r="39" spans="10:78" ht="12.75">
      <c r="J39" s="50"/>
      <c r="K39" s="50"/>
      <c r="L39" s="51"/>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4"/>
      <c r="BZ39" s="54"/>
    </row>
    <row r="40" spans="10:78" ht="12.75">
      <c r="J40" s="50"/>
      <c r="K40" s="50"/>
      <c r="L40" s="51"/>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4"/>
      <c r="BZ40" s="54"/>
    </row>
    <row r="41" spans="9:78" ht="12.75">
      <c r="I41" s="56"/>
      <c r="J41" s="50"/>
      <c r="K41" s="50"/>
      <c r="L41" s="51"/>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row>
    <row r="42" spans="9:78" ht="12.75">
      <c r="I42" s="57"/>
      <c r="J42" s="50"/>
      <c r="K42" s="50"/>
      <c r="L42" s="51"/>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row>
    <row r="43" spans="9:78" ht="12.75">
      <c r="I43" s="57"/>
      <c r="J43" s="50"/>
      <c r="K43" s="50"/>
      <c r="L43" s="51"/>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row>
    <row r="44" spans="9:78" ht="12.75">
      <c r="I44" s="57"/>
      <c r="J44" s="50"/>
      <c r="K44" s="50"/>
      <c r="L44" s="51"/>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2"/>
      <c r="BJ44" s="52"/>
      <c r="BK44" s="52"/>
      <c r="BL44" s="52"/>
      <c r="BM44" s="52"/>
      <c r="BN44" s="52"/>
      <c r="BO44" s="52"/>
      <c r="BP44" s="52"/>
      <c r="BQ44" s="52"/>
      <c r="BR44" s="52"/>
      <c r="BS44" s="52"/>
      <c r="BT44" s="52"/>
      <c r="BU44" s="52"/>
      <c r="BV44" s="52"/>
      <c r="BW44" s="52"/>
      <c r="BX44" s="52"/>
      <c r="BY44" s="52"/>
      <c r="BZ44" s="52"/>
    </row>
    <row r="45" spans="9:78" ht="12.75">
      <c r="I45" s="57"/>
      <c r="J45" s="50"/>
      <c r="K45" s="50"/>
      <c r="L45" s="51"/>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c r="BC45" s="52"/>
      <c r="BD45" s="52"/>
      <c r="BE45" s="52"/>
      <c r="BF45" s="52"/>
      <c r="BG45" s="52"/>
      <c r="BH45" s="52"/>
      <c r="BI45" s="52"/>
      <c r="BJ45" s="52"/>
      <c r="BK45" s="52"/>
      <c r="BL45" s="52"/>
      <c r="BM45" s="52"/>
      <c r="BN45" s="52"/>
      <c r="BO45" s="52"/>
      <c r="BP45" s="52"/>
      <c r="BQ45" s="52"/>
      <c r="BR45" s="52"/>
      <c r="BS45" s="52"/>
      <c r="BT45" s="52"/>
      <c r="BU45" s="52"/>
      <c r="BV45" s="52"/>
      <c r="BW45" s="52"/>
      <c r="BX45" s="52"/>
      <c r="BY45" s="52"/>
      <c r="BZ45" s="52"/>
    </row>
    <row r="46" spans="9:78" ht="12.75">
      <c r="I46" s="57"/>
      <c r="J46" s="50"/>
      <c r="K46" s="50"/>
      <c r="L46" s="51"/>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c r="BC46" s="52"/>
      <c r="BD46" s="52"/>
      <c r="BE46" s="52"/>
      <c r="BF46" s="52"/>
      <c r="BG46" s="52"/>
      <c r="BH46" s="52"/>
      <c r="BI46" s="52"/>
      <c r="BJ46" s="52"/>
      <c r="BK46" s="52"/>
      <c r="BL46" s="52"/>
      <c r="BM46" s="52"/>
      <c r="BN46" s="52"/>
      <c r="BO46" s="52"/>
      <c r="BP46" s="52"/>
      <c r="BQ46" s="52"/>
      <c r="BR46" s="52"/>
      <c r="BS46" s="52"/>
      <c r="BT46" s="52"/>
      <c r="BU46" s="52"/>
      <c r="BV46" s="52"/>
      <c r="BW46" s="52"/>
      <c r="BX46" s="52"/>
      <c r="BY46" s="52"/>
      <c r="BZ46" s="52"/>
    </row>
    <row r="47" spans="9:78" ht="12.75">
      <c r="I47" s="57"/>
      <c r="J47" s="50"/>
      <c r="K47" s="50"/>
      <c r="L47" s="51"/>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c r="BC47" s="52"/>
      <c r="BD47" s="52"/>
      <c r="BE47" s="52"/>
      <c r="BF47" s="52"/>
      <c r="BG47" s="52"/>
      <c r="BH47" s="52"/>
      <c r="BI47" s="52"/>
      <c r="BJ47" s="52"/>
      <c r="BK47" s="52"/>
      <c r="BL47" s="52"/>
      <c r="BM47" s="52"/>
      <c r="BN47" s="52"/>
      <c r="BO47" s="52"/>
      <c r="BP47" s="52"/>
      <c r="BQ47" s="52"/>
      <c r="BR47" s="52"/>
      <c r="BS47" s="52"/>
      <c r="BT47" s="52"/>
      <c r="BU47" s="52"/>
      <c r="BV47" s="52"/>
      <c r="BW47" s="52"/>
      <c r="BX47" s="52"/>
      <c r="BY47" s="52"/>
      <c r="BZ47" s="52"/>
    </row>
    <row r="48" spans="10:78" ht="12.75">
      <c r="J48" s="50"/>
      <c r="K48" s="50"/>
      <c r="L48" s="51"/>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c r="BC48" s="52"/>
      <c r="BD48" s="52"/>
      <c r="BE48" s="52"/>
      <c r="BF48" s="52"/>
      <c r="BG48" s="52"/>
      <c r="BH48" s="52"/>
      <c r="BI48" s="52"/>
      <c r="BJ48" s="52"/>
      <c r="BK48" s="52"/>
      <c r="BL48" s="52"/>
      <c r="BM48" s="52"/>
      <c r="BN48" s="52"/>
      <c r="BO48" s="52"/>
      <c r="BP48" s="52"/>
      <c r="BQ48" s="52"/>
      <c r="BR48" s="52"/>
      <c r="BS48" s="52"/>
      <c r="BT48" s="52"/>
      <c r="BU48" s="52"/>
      <c r="BV48" s="52"/>
      <c r="BW48" s="52"/>
      <c r="BX48" s="52"/>
      <c r="BY48" s="52"/>
      <c r="BZ48" s="52"/>
    </row>
    <row r="49" spans="9:78" ht="12.75">
      <c r="I49" s="56"/>
      <c r="J49" s="50"/>
      <c r="K49" s="50"/>
      <c r="L49" s="51"/>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row>
    <row r="50" spans="9:78" ht="12.75">
      <c r="I50" s="57"/>
      <c r="J50" s="50"/>
      <c r="K50" s="50"/>
      <c r="L50" s="51"/>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row>
    <row r="51" spans="9:78" ht="12.75">
      <c r="I51" s="58"/>
      <c r="J51" s="50"/>
      <c r="K51" s="50"/>
      <c r="L51" s="51"/>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row>
    <row r="52" spans="9:78" ht="12.75">
      <c r="I52" s="57"/>
      <c r="J52" s="50"/>
      <c r="K52" s="50"/>
      <c r="L52" s="51"/>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row>
    <row r="53" spans="9:78" ht="12.75">
      <c r="I53" s="57"/>
      <c r="J53" s="50"/>
      <c r="K53" s="50"/>
      <c r="L53" s="51"/>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row>
    <row r="54" ht="12.75">
      <c r="AZ54" s="49"/>
    </row>
    <row r="55" ht="12.75">
      <c r="AZ55" s="49"/>
    </row>
    <row r="56" ht="12.75">
      <c r="AZ56" s="49"/>
    </row>
    <row r="57" ht="12.75">
      <c r="AZ57" s="49"/>
    </row>
    <row r="58" ht="12.75">
      <c r="AZ58" s="49"/>
    </row>
    <row r="59" ht="12.75">
      <c r="AZ59" s="49"/>
    </row>
    <row r="60" ht="12.75">
      <c r="AZ60" s="49"/>
    </row>
    <row r="61" ht="12.75">
      <c r="AZ61" s="49"/>
    </row>
    <row r="62" ht="12.75">
      <c r="AZ62" s="49"/>
    </row>
  </sheetData>
  <sheetProtection/>
  <printOptions/>
  <pageMargins left="0.75" right="0.75" top="1" bottom="1" header="0.5" footer="0.5"/>
  <pageSetup orientation="portrait" paperSize="9"/>
  <drawing r:id="rId3"/>
  <legacyDrawing r:id="rId2"/>
</worksheet>
</file>

<file path=xl/worksheets/sheet13.xml><?xml version="1.0" encoding="utf-8"?>
<worksheet xmlns="http://schemas.openxmlformats.org/spreadsheetml/2006/main" xmlns:r="http://schemas.openxmlformats.org/officeDocument/2006/relationships">
  <sheetPr codeName="Sheet12"/>
  <dimension ref="A1:AL12"/>
  <sheetViews>
    <sheetView zoomScalePageLayoutView="0" workbookViewId="0" topLeftCell="A1">
      <selection activeCell="A1" sqref="A1"/>
    </sheetView>
  </sheetViews>
  <sheetFormatPr defaultColWidth="9.140625" defaultRowHeight="12.75"/>
  <cols>
    <col min="2" max="2" width="9.140625" style="317" customWidth="1"/>
    <col min="3" max="3" width="24.7109375" style="0" bestFit="1" customWidth="1"/>
    <col min="4" max="4" width="9.140625" style="317" customWidth="1"/>
  </cols>
  <sheetData>
    <row r="1" spans="1:38" ht="20.25">
      <c r="A1" s="49"/>
      <c r="B1" s="316"/>
      <c r="C1" s="49"/>
      <c r="D1" s="316"/>
      <c r="E1" s="49"/>
      <c r="F1" s="49"/>
      <c r="G1" s="49"/>
      <c r="H1" s="161" t="s">
        <v>639</v>
      </c>
      <c r="N1" s="49"/>
      <c r="O1" s="49"/>
      <c r="P1" s="49"/>
      <c r="Q1" s="49"/>
      <c r="R1" s="49"/>
      <c r="S1" s="49"/>
      <c r="T1" s="49"/>
      <c r="U1" s="49"/>
      <c r="V1" s="49"/>
      <c r="W1" s="49"/>
      <c r="X1" s="49"/>
      <c r="Y1" s="49"/>
      <c r="Z1" s="49"/>
      <c r="AA1" s="49"/>
      <c r="AB1" s="49"/>
      <c r="AC1" s="49"/>
      <c r="AD1" s="49"/>
      <c r="AE1" s="49"/>
      <c r="AF1" s="49"/>
      <c r="AG1" s="49"/>
      <c r="AH1" s="49"/>
      <c r="AI1" s="49"/>
      <c r="AJ1" s="49"/>
      <c r="AK1" s="49"/>
      <c r="AL1" s="49"/>
    </row>
    <row r="3" spans="2:6" ht="12.75">
      <c r="B3" s="471" t="s">
        <v>610</v>
      </c>
      <c r="C3" s="471"/>
      <c r="D3" s="471"/>
      <c r="E3" s="471"/>
      <c r="F3" s="94" t="s">
        <v>91</v>
      </c>
    </row>
    <row r="4" spans="2:8" ht="12.75">
      <c r="B4" s="317">
        <v>1</v>
      </c>
      <c r="C4" s="315" t="s">
        <v>188</v>
      </c>
      <c r="D4" s="317">
        <v>3412.1414799</v>
      </c>
      <c r="E4" s="315" t="s">
        <v>607</v>
      </c>
      <c r="F4" s="234"/>
      <c r="H4" s="162"/>
    </row>
    <row r="5" spans="2:6" ht="12.75">
      <c r="B5" s="317">
        <v>1</v>
      </c>
      <c r="C5" s="315" t="s">
        <v>608</v>
      </c>
      <c r="D5" s="317">
        <v>1.18604</v>
      </c>
      <c r="E5" s="315" t="s">
        <v>609</v>
      </c>
      <c r="F5" s="315" t="s">
        <v>611</v>
      </c>
    </row>
    <row r="6" spans="2:6" ht="12.75">
      <c r="B6" s="318" t="s">
        <v>526</v>
      </c>
      <c r="C6" s="234" t="s">
        <v>469</v>
      </c>
      <c r="D6" s="317">
        <v>20.8</v>
      </c>
      <c r="E6" s="234" t="s">
        <v>449</v>
      </c>
      <c r="F6" s="315" t="s">
        <v>612</v>
      </c>
    </row>
    <row r="7" spans="2:6" ht="12.75">
      <c r="B7" s="318" t="s">
        <v>526</v>
      </c>
      <c r="C7" s="315" t="s">
        <v>469</v>
      </c>
      <c r="D7" s="319">
        <f>Conversions!D6*0.74569987</f>
        <v>15.510557296000002</v>
      </c>
      <c r="E7" s="234" t="s">
        <v>471</v>
      </c>
      <c r="F7" s="315" t="s">
        <v>612</v>
      </c>
    </row>
    <row r="8" spans="2:6" ht="12.75">
      <c r="B8" s="317">
        <v>1</v>
      </c>
      <c r="C8" s="315" t="s">
        <v>753</v>
      </c>
      <c r="D8" s="317">
        <f>907.18474</f>
        <v>907.18474</v>
      </c>
      <c r="E8" s="315" t="s">
        <v>190</v>
      </c>
      <c r="F8" s="234"/>
    </row>
    <row r="9" spans="2:6" ht="12.75">
      <c r="B9" s="317">
        <v>1</v>
      </c>
      <c r="C9" s="315" t="s">
        <v>755</v>
      </c>
      <c r="D9" s="317">
        <v>42</v>
      </c>
      <c r="E9" s="315" t="s">
        <v>203</v>
      </c>
      <c r="F9" s="234"/>
    </row>
    <row r="10" spans="2:6" ht="12.75">
      <c r="B10" s="317">
        <v>1</v>
      </c>
      <c r="C10" s="315" t="s">
        <v>756</v>
      </c>
      <c r="D10" s="317">
        <f>3.78541178</f>
        <v>3.78541178</v>
      </c>
      <c r="E10" s="315" t="s">
        <v>299</v>
      </c>
      <c r="F10" s="234"/>
    </row>
    <row r="11" spans="2:6" ht="12.75">
      <c r="B11" s="317">
        <v>1</v>
      </c>
      <c r="C11" s="315" t="s">
        <v>757</v>
      </c>
      <c r="D11" s="317">
        <v>1000</v>
      </c>
      <c r="E11" s="315" t="s">
        <v>758</v>
      </c>
      <c r="F11" s="234"/>
    </row>
    <row r="12" spans="2:6" ht="12.75">
      <c r="B12" s="317">
        <v>1</v>
      </c>
      <c r="C12" s="315" t="s">
        <v>762</v>
      </c>
      <c r="D12" s="317">
        <f>10^6</f>
        <v>1000000</v>
      </c>
      <c r="E12" s="315" t="s">
        <v>188</v>
      </c>
      <c r="F12" s="234"/>
    </row>
  </sheetData>
  <sheetProtection/>
  <mergeCells count="1">
    <mergeCell ref="B3:E3"/>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3"/>
  <dimension ref="A1:AL8"/>
  <sheetViews>
    <sheetView zoomScalePageLayoutView="0" workbookViewId="0" topLeftCell="A1">
      <selection activeCell="J7" sqref="J7"/>
    </sheetView>
  </sheetViews>
  <sheetFormatPr defaultColWidth="9.140625" defaultRowHeight="12.75"/>
  <cols>
    <col min="3" max="3" width="13.140625" style="0" bestFit="1" customWidth="1"/>
  </cols>
  <sheetData>
    <row r="1" spans="1:38" ht="20.25">
      <c r="A1" s="49"/>
      <c r="B1" s="49"/>
      <c r="C1" s="49"/>
      <c r="D1" s="49"/>
      <c r="E1" s="49"/>
      <c r="F1" s="49"/>
      <c r="G1" s="49"/>
      <c r="H1" s="161" t="s">
        <v>591</v>
      </c>
      <c r="N1" s="49"/>
      <c r="O1" s="49"/>
      <c r="P1" s="49"/>
      <c r="Q1" s="49"/>
      <c r="R1" s="49"/>
      <c r="S1" s="49"/>
      <c r="T1" s="49"/>
      <c r="U1" s="49"/>
      <c r="V1" s="49"/>
      <c r="W1" s="49"/>
      <c r="X1" s="49"/>
      <c r="Y1" s="49"/>
      <c r="Z1" s="49"/>
      <c r="AA1" s="49"/>
      <c r="AB1" s="49"/>
      <c r="AC1" s="49"/>
      <c r="AD1" s="49"/>
      <c r="AE1" s="49"/>
      <c r="AF1" s="49"/>
      <c r="AG1" s="49"/>
      <c r="AH1" s="49"/>
      <c r="AI1" s="49"/>
      <c r="AJ1" s="49"/>
      <c r="AK1" s="49"/>
      <c r="AL1" s="49"/>
    </row>
    <row r="3" spans="3:4" ht="12.75">
      <c r="C3" s="94" t="s">
        <v>592</v>
      </c>
      <c r="D3" s="94" t="s">
        <v>593</v>
      </c>
    </row>
    <row r="4" spans="3:12" s="166" customFormat="1" ht="54" customHeight="1">
      <c r="C4" s="328">
        <v>1</v>
      </c>
      <c r="D4" s="472" t="s">
        <v>445</v>
      </c>
      <c r="E4" s="472"/>
      <c r="F4" s="472"/>
      <c r="G4" s="472"/>
      <c r="H4" s="472"/>
      <c r="I4" s="472"/>
      <c r="J4" s="472"/>
      <c r="K4" s="472"/>
      <c r="L4" s="472"/>
    </row>
    <row r="5" spans="3:12" s="166" customFormat="1" ht="51" customHeight="1">
      <c r="C5" s="329">
        <v>2</v>
      </c>
      <c r="D5" s="473" t="s">
        <v>446</v>
      </c>
      <c r="E5" s="473"/>
      <c r="F5" s="473"/>
      <c r="G5" s="473"/>
      <c r="H5" s="473"/>
      <c r="I5" s="473"/>
      <c r="J5" s="473"/>
      <c r="K5" s="473"/>
      <c r="L5" s="473"/>
    </row>
    <row r="6" spans="3:12" s="166" customFormat="1" ht="30" customHeight="1">
      <c r="C6" s="330">
        <v>3</v>
      </c>
      <c r="D6" s="474" t="s">
        <v>807</v>
      </c>
      <c r="E6" s="474"/>
      <c r="F6" s="474"/>
      <c r="G6" s="474"/>
      <c r="H6" s="474"/>
      <c r="I6" s="474"/>
      <c r="J6" s="474"/>
      <c r="K6" s="474"/>
      <c r="L6" s="474"/>
    </row>
    <row r="7" spans="3:12" ht="12.75">
      <c r="C7" s="331" t="s">
        <v>606</v>
      </c>
      <c r="D7" s="86" t="s">
        <v>469</v>
      </c>
      <c r="E7" s="86"/>
      <c r="F7" s="86"/>
      <c r="G7" s="86">
        <v>20.8</v>
      </c>
      <c r="H7" s="86" t="s">
        <v>449</v>
      </c>
      <c r="I7" s="332" t="s">
        <v>470</v>
      </c>
      <c r="J7" s="333">
        <f>G7*0.74569987</f>
        <v>15.510557296000002</v>
      </c>
      <c r="K7" s="86" t="s">
        <v>471</v>
      </c>
      <c r="L7" s="86"/>
    </row>
    <row r="8" spans="3:12" ht="12.75">
      <c r="C8" s="334" t="s">
        <v>606</v>
      </c>
      <c r="D8" s="92" t="s">
        <v>474</v>
      </c>
      <c r="E8" s="92"/>
      <c r="F8" s="92"/>
      <c r="G8" s="92"/>
      <c r="H8" s="92"/>
      <c r="I8" s="92"/>
      <c r="J8" s="92"/>
      <c r="K8" s="92"/>
      <c r="L8" s="92"/>
    </row>
  </sheetData>
  <sheetProtection/>
  <mergeCells count="3">
    <mergeCell ref="D4:L4"/>
    <mergeCell ref="D5:L5"/>
    <mergeCell ref="D6:L6"/>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AL30"/>
  <sheetViews>
    <sheetView zoomScalePageLayoutView="0" workbookViewId="0" topLeftCell="A1">
      <selection activeCell="F24" sqref="F24"/>
    </sheetView>
  </sheetViews>
  <sheetFormatPr defaultColWidth="9.140625" defaultRowHeight="12.75"/>
  <cols>
    <col min="2" max="2" width="43.28125" style="0" customWidth="1"/>
    <col min="3" max="3" width="12.7109375" style="0" customWidth="1"/>
    <col min="4" max="4" width="18.140625" style="0" customWidth="1"/>
    <col min="5" max="5" width="10.8515625" style="0" customWidth="1"/>
    <col min="6" max="6" width="14.28125" style="0" customWidth="1"/>
  </cols>
  <sheetData>
    <row r="1" spans="1:38" ht="20.25">
      <c r="A1" s="49"/>
      <c r="B1" s="49"/>
      <c r="C1" s="49"/>
      <c r="D1" s="161" t="s">
        <v>706</v>
      </c>
      <c r="E1" s="49"/>
      <c r="F1" s="49"/>
      <c r="G1" s="49"/>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38" ht="20.25">
      <c r="A2" s="158" t="s">
        <v>707</v>
      </c>
      <c r="C2" s="49"/>
      <c r="D2" s="161"/>
      <c r="E2" s="49"/>
      <c r="F2" s="49"/>
      <c r="G2" s="49"/>
      <c r="N2" s="49"/>
      <c r="O2" s="49"/>
      <c r="P2" s="49"/>
      <c r="Q2" s="49"/>
      <c r="R2" s="49"/>
      <c r="S2" s="49"/>
      <c r="T2" s="49"/>
      <c r="U2" s="49"/>
      <c r="V2" s="49"/>
      <c r="W2" s="49"/>
      <c r="X2" s="49"/>
      <c r="Y2" s="49"/>
      <c r="Z2" s="49"/>
      <c r="AA2" s="49"/>
      <c r="AB2" s="49"/>
      <c r="AC2" s="49"/>
      <c r="AD2" s="49"/>
      <c r="AE2" s="49"/>
      <c r="AF2" s="49"/>
      <c r="AG2" s="49"/>
      <c r="AH2" s="49"/>
      <c r="AI2" s="49"/>
      <c r="AJ2" s="49"/>
      <c r="AK2" s="49"/>
      <c r="AL2" s="49"/>
    </row>
    <row r="3" spans="1:38" ht="12.75" customHeight="1">
      <c r="A3" s="47"/>
      <c r="C3" s="49"/>
      <c r="D3" s="161"/>
      <c r="E3" s="49"/>
      <c r="F3" s="49"/>
      <c r="G3" s="49"/>
      <c r="N3" s="49"/>
      <c r="O3" s="49"/>
      <c r="P3" s="49"/>
      <c r="Q3" s="49"/>
      <c r="R3" s="49"/>
      <c r="S3" s="49"/>
      <c r="T3" s="49"/>
      <c r="U3" s="49"/>
      <c r="V3" s="49"/>
      <c r="W3" s="49"/>
      <c r="X3" s="49"/>
      <c r="Y3" s="49"/>
      <c r="Z3" s="49"/>
      <c r="AA3" s="49"/>
      <c r="AB3" s="49"/>
      <c r="AC3" s="49"/>
      <c r="AD3" s="49"/>
      <c r="AE3" s="49"/>
      <c r="AF3" s="49"/>
      <c r="AG3" s="49"/>
      <c r="AH3" s="49"/>
      <c r="AI3" s="49"/>
      <c r="AJ3" s="49"/>
      <c r="AK3" s="49"/>
      <c r="AL3" s="49"/>
    </row>
    <row r="4" spans="1:38" ht="12.75" customHeight="1">
      <c r="A4" s="158"/>
      <c r="C4" s="49"/>
      <c r="D4" s="161"/>
      <c r="E4" s="49"/>
      <c r="F4" s="49"/>
      <c r="G4" s="49"/>
      <c r="N4" s="49"/>
      <c r="O4" s="49"/>
      <c r="P4" s="49"/>
      <c r="Q4" s="49"/>
      <c r="R4" s="49"/>
      <c r="S4" s="49"/>
      <c r="T4" s="49"/>
      <c r="U4" s="49"/>
      <c r="V4" s="49"/>
      <c r="W4" s="49"/>
      <c r="X4" s="49"/>
      <c r="Y4" s="49"/>
      <c r="Z4" s="49"/>
      <c r="AA4" s="49"/>
      <c r="AB4" s="49"/>
      <c r="AC4" s="49"/>
      <c r="AD4" s="49"/>
      <c r="AE4" s="49"/>
      <c r="AF4" s="49"/>
      <c r="AG4" s="49"/>
      <c r="AH4" s="49"/>
      <c r="AI4" s="49"/>
      <c r="AJ4" s="49"/>
      <c r="AK4" s="49"/>
      <c r="AL4" s="49"/>
    </row>
    <row r="5" spans="1:38" ht="12.75" customHeight="1">
      <c r="A5" s="158"/>
      <c r="C5" s="49"/>
      <c r="D5" s="161"/>
      <c r="E5" s="49"/>
      <c r="F5" s="49"/>
      <c r="G5" s="49"/>
      <c r="N5" s="49"/>
      <c r="O5" s="49"/>
      <c r="P5" s="49"/>
      <c r="Q5" s="49"/>
      <c r="R5" s="49"/>
      <c r="S5" s="49"/>
      <c r="T5" s="49"/>
      <c r="U5" s="49"/>
      <c r="V5" s="49"/>
      <c r="W5" s="49"/>
      <c r="X5" s="49"/>
      <c r="Y5" s="49"/>
      <c r="Z5" s="49"/>
      <c r="AA5" s="49"/>
      <c r="AB5" s="49"/>
      <c r="AC5" s="49"/>
      <c r="AD5" s="49"/>
      <c r="AE5" s="49"/>
      <c r="AF5" s="49"/>
      <c r="AG5" s="49"/>
      <c r="AH5" s="49"/>
      <c r="AI5" s="49"/>
      <c r="AJ5" s="49"/>
      <c r="AK5" s="49"/>
      <c r="AL5" s="49"/>
    </row>
    <row r="6" spans="1:38" ht="12.75" customHeight="1">
      <c r="A6" s="158"/>
      <c r="C6" s="49"/>
      <c r="D6" s="161"/>
      <c r="E6" s="49"/>
      <c r="F6" s="49"/>
      <c r="G6" s="49"/>
      <c r="N6" s="49"/>
      <c r="O6" s="49"/>
      <c r="P6" s="49"/>
      <c r="Q6" s="49"/>
      <c r="R6" s="49"/>
      <c r="S6" s="49"/>
      <c r="T6" s="49"/>
      <c r="U6" s="49"/>
      <c r="V6" s="49"/>
      <c r="W6" s="49"/>
      <c r="X6" s="49"/>
      <c r="Y6" s="49"/>
      <c r="Z6" s="49"/>
      <c r="AA6" s="49"/>
      <c r="AB6" s="49"/>
      <c r="AC6" s="49"/>
      <c r="AD6" s="49"/>
      <c r="AE6" s="49"/>
      <c r="AF6" s="49"/>
      <c r="AG6" s="49"/>
      <c r="AH6" s="49"/>
      <c r="AI6" s="49"/>
      <c r="AJ6" s="49"/>
      <c r="AK6" s="49"/>
      <c r="AL6" s="49"/>
    </row>
    <row r="7" spans="1:38" ht="12.75" customHeight="1">
      <c r="A7" s="158"/>
      <c r="C7" s="49"/>
      <c r="D7" s="161"/>
      <c r="E7" s="49"/>
      <c r="F7" s="49"/>
      <c r="G7" s="49"/>
      <c r="N7" s="49"/>
      <c r="O7" s="49"/>
      <c r="P7" s="49"/>
      <c r="Q7" s="49"/>
      <c r="R7" s="49"/>
      <c r="S7" s="49"/>
      <c r="T7" s="49"/>
      <c r="U7" s="49"/>
      <c r="V7" s="49"/>
      <c r="W7" s="49"/>
      <c r="X7" s="49"/>
      <c r="Y7" s="49"/>
      <c r="Z7" s="49"/>
      <c r="AA7" s="49"/>
      <c r="AB7" s="49"/>
      <c r="AC7" s="49"/>
      <c r="AD7" s="49"/>
      <c r="AE7" s="49"/>
      <c r="AF7" s="49"/>
      <c r="AG7" s="49"/>
      <c r="AH7" s="49"/>
      <c r="AI7" s="49"/>
      <c r="AJ7" s="49"/>
      <c r="AK7" s="49"/>
      <c r="AL7" s="49"/>
    </row>
    <row r="8" spans="3:4" ht="12.75" customHeight="1">
      <c r="C8" s="187"/>
      <c r="D8" s="187"/>
    </row>
    <row r="9" spans="2:4" ht="12.75" customHeight="1">
      <c r="B9" s="188"/>
      <c r="C9" s="188"/>
      <c r="D9" s="188"/>
    </row>
    <row r="10" spans="2:4" ht="12.75" customHeight="1">
      <c r="B10" s="188"/>
      <c r="C10" s="188"/>
      <c r="D10" s="188"/>
    </row>
    <row r="11" spans="2:4" ht="12.75" customHeight="1">
      <c r="B11" s="187" t="s">
        <v>688</v>
      </c>
      <c r="C11" s="188"/>
      <c r="D11" s="188"/>
    </row>
    <row r="12" spans="2:6" ht="12.75">
      <c r="B12" s="475" t="s">
        <v>689</v>
      </c>
      <c r="C12" s="475"/>
      <c r="D12" s="475"/>
      <c r="E12" s="475"/>
      <c r="F12" s="475"/>
    </row>
    <row r="13" spans="3:6" ht="12.75">
      <c r="C13" s="47" t="s">
        <v>472</v>
      </c>
      <c r="D13" s="47" t="s">
        <v>126</v>
      </c>
      <c r="E13" s="47" t="s">
        <v>690</v>
      </c>
      <c r="F13" s="47" t="s">
        <v>691</v>
      </c>
    </row>
    <row r="14" spans="2:6" ht="12.75">
      <c r="B14" s="189" t="s">
        <v>692</v>
      </c>
      <c r="C14" s="190">
        <v>0.0008294882824050561</v>
      </c>
      <c r="D14" s="47" t="s">
        <v>693</v>
      </c>
      <c r="E14" s="191">
        <f>C14/$C$24</f>
        <v>0.09875941855225662</v>
      </c>
      <c r="F14" s="191"/>
    </row>
    <row r="15" spans="2:6" ht="12.75">
      <c r="B15" s="189" t="s">
        <v>694</v>
      </c>
      <c r="C15" s="190">
        <v>2.3808972659804327E-07</v>
      </c>
      <c r="D15" s="47" t="s">
        <v>693</v>
      </c>
      <c r="E15" s="191">
        <f aca="true" t="shared" si="0" ref="E15:E22">C15/$C$24</f>
        <v>2.8347118893484652E-05</v>
      </c>
      <c r="F15" s="191">
        <f>C15/$C$25</f>
        <v>0.03665202578728096</v>
      </c>
    </row>
    <row r="16" spans="2:6" ht="12.75">
      <c r="B16" s="189" t="s">
        <v>695</v>
      </c>
      <c r="C16" s="190">
        <v>0.007563074765073369</v>
      </c>
      <c r="D16" s="47" t="s">
        <v>693</v>
      </c>
      <c r="E16" s="191">
        <f t="shared" si="0"/>
        <v>0.9004646383915427</v>
      </c>
      <c r="F16" s="191"/>
    </row>
    <row r="17" spans="2:6" ht="12.75">
      <c r="B17" s="189" t="s">
        <v>696</v>
      </c>
      <c r="C17" s="190">
        <v>5.101922712815213E-07</v>
      </c>
      <c r="D17" s="47" t="s">
        <v>693</v>
      </c>
      <c r="E17" s="191">
        <f t="shared" si="0"/>
        <v>6.074382620032426E-05</v>
      </c>
      <c r="F17" s="191">
        <f>C17/$C$25</f>
        <v>0.0785400552584592</v>
      </c>
    </row>
    <row r="18" spans="2:6" ht="12.75">
      <c r="B18" s="189" t="s">
        <v>697</v>
      </c>
      <c r="C18" s="190">
        <v>2.125801130339672E-08</v>
      </c>
      <c r="D18" s="47" t="s">
        <v>693</v>
      </c>
      <c r="E18" s="191">
        <f t="shared" si="0"/>
        <v>2.530992758346844E-06</v>
      </c>
      <c r="F18" s="191"/>
    </row>
    <row r="19" spans="2:6" ht="15.75">
      <c r="B19" s="189" t="s">
        <v>698</v>
      </c>
      <c r="C19" s="190">
        <v>7.820401024901293E-09</v>
      </c>
      <c r="D19" s="47" t="s">
        <v>693</v>
      </c>
      <c r="E19" s="191">
        <f t="shared" si="0"/>
        <v>9.311020715390586E-07</v>
      </c>
      <c r="F19" s="191">
        <f>C19/$C$25</f>
        <v>0.0012038887360960007</v>
      </c>
    </row>
    <row r="20" spans="2:6" ht="12.75">
      <c r="B20" s="189" t="s">
        <v>699</v>
      </c>
      <c r="C20" s="190">
        <v>1.2672154592555214E-06</v>
      </c>
      <c r="D20" s="47" t="s">
        <v>693</v>
      </c>
      <c r="E20" s="191">
        <f t="shared" si="0"/>
        <v>0.0001508755031157789</v>
      </c>
      <c r="F20" s="191">
        <f>C20/$C$25</f>
        <v>0.19507777321735215</v>
      </c>
    </row>
    <row r="21" spans="2:6" ht="12.75">
      <c r="B21" s="189" t="s">
        <v>700</v>
      </c>
      <c r="C21" s="190">
        <v>4.4385869543124095E-06</v>
      </c>
      <c r="D21" s="47" t="s">
        <v>693</v>
      </c>
      <c r="E21" s="191">
        <f t="shared" si="0"/>
        <v>0.0005284610718436512</v>
      </c>
      <c r="F21" s="191">
        <f>C21/$C$25</f>
        <v>0.6832852716203014</v>
      </c>
    </row>
    <row r="22" spans="2:6" ht="12.75">
      <c r="B22" s="189" t="s">
        <v>701</v>
      </c>
      <c r="C22" s="190">
        <v>4.080815245324915E-14</v>
      </c>
      <c r="D22" s="47" t="s">
        <v>693</v>
      </c>
      <c r="E22" s="191">
        <f t="shared" si="0"/>
        <v>4.858645376869479E-12</v>
      </c>
      <c r="F22" s="191">
        <f>C22/$C$25</f>
        <v>6.282091535066146E-09</v>
      </c>
    </row>
    <row r="23" spans="2:6" ht="12.75">
      <c r="B23" s="193" t="s">
        <v>702</v>
      </c>
      <c r="C23" s="193">
        <v>3.404513813135056E-08</v>
      </c>
      <c r="D23" s="194" t="s">
        <v>693</v>
      </c>
      <c r="E23" s="195">
        <f>C23/$C$24</f>
        <v>4.053436459204342E-06</v>
      </c>
      <c r="F23" s="196">
        <f>C23/$C$25</f>
        <v>0.005240979098726296</v>
      </c>
    </row>
    <row r="24" spans="2:3" ht="12.75">
      <c r="B24" s="192" t="s">
        <v>98</v>
      </c>
      <c r="C24">
        <f>SUM(C14:C23)</f>
        <v>0.008399080255481138</v>
      </c>
    </row>
    <row r="25" spans="2:3" ht="12.75">
      <c r="B25" s="192" t="s">
        <v>703</v>
      </c>
      <c r="C25">
        <f>C24-C14-C16-C18</f>
        <v>6.495949991409902E-06</v>
      </c>
    </row>
    <row r="27" ht="12.75">
      <c r="B27" s="47" t="s">
        <v>704</v>
      </c>
    </row>
    <row r="28" ht="12.75">
      <c r="B28" s="47" t="s">
        <v>708</v>
      </c>
    </row>
    <row r="30" ht="12.75">
      <c r="B30" s="1" t="s">
        <v>705</v>
      </c>
    </row>
  </sheetData>
  <sheetProtection/>
  <mergeCells count="1">
    <mergeCell ref="B12:F12"/>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W374"/>
  <sheetViews>
    <sheetView showGridLines="0" tabSelected="1" zoomScalePageLayoutView="40" workbookViewId="0" topLeftCell="A1">
      <selection activeCell="A1" sqref="A1"/>
    </sheetView>
  </sheetViews>
  <sheetFormatPr defaultColWidth="9.140625" defaultRowHeight="12.75"/>
  <cols>
    <col min="1" max="1" width="1.8515625" style="5" customWidth="1"/>
    <col min="2" max="2" width="3.7109375" style="1" customWidth="1"/>
    <col min="3" max="3" width="29.57421875" style="0" customWidth="1"/>
    <col min="4" max="4" width="51.140625" style="0" customWidth="1"/>
    <col min="5" max="6" width="12.28125" style="0" customWidth="1"/>
    <col min="7" max="7" width="12.8515625" style="0" customWidth="1"/>
    <col min="8" max="8" width="13.57421875" style="0" customWidth="1"/>
    <col min="9" max="9" width="12.7109375" style="5" customWidth="1"/>
    <col min="10" max="10" width="14.421875" style="0" customWidth="1"/>
    <col min="11" max="11" width="9.28125" style="0" customWidth="1"/>
    <col min="12" max="12" width="14.7109375" style="0" customWidth="1"/>
    <col min="13" max="13" width="13.00390625" style="0" customWidth="1"/>
    <col min="14" max="14" width="49.00390625" style="0" customWidth="1"/>
    <col min="15" max="15" width="2.140625" style="5" customWidth="1"/>
    <col min="16" max="23" width="9.140625" style="5" customWidth="1"/>
  </cols>
  <sheetData>
    <row r="1" spans="2:15" ht="20.25">
      <c r="B1" s="377" t="s">
        <v>100</v>
      </c>
      <c r="C1" s="377"/>
      <c r="D1" s="377"/>
      <c r="E1" s="377"/>
      <c r="F1" s="377"/>
      <c r="G1" s="377"/>
      <c r="H1" s="377"/>
      <c r="I1" s="377"/>
      <c r="J1" s="377"/>
      <c r="K1" s="377"/>
      <c r="L1" s="377"/>
      <c r="M1" s="377"/>
      <c r="N1" s="377"/>
      <c r="O1" s="377"/>
    </row>
    <row r="2" spans="2:15" ht="20.25">
      <c r="B2" s="377" t="s">
        <v>101</v>
      </c>
      <c r="C2" s="377"/>
      <c r="D2" s="377"/>
      <c r="E2" s="377"/>
      <c r="F2" s="377"/>
      <c r="G2" s="377"/>
      <c r="H2" s="377"/>
      <c r="I2" s="377"/>
      <c r="J2" s="377"/>
      <c r="K2" s="377"/>
      <c r="L2" s="377"/>
      <c r="M2" s="377"/>
      <c r="N2" s="377"/>
      <c r="O2" s="377"/>
    </row>
    <row r="3" spans="2:14" ht="5.25" customHeight="1">
      <c r="B3" s="4"/>
      <c r="C3" s="5"/>
      <c r="D3" s="5"/>
      <c r="E3" s="5"/>
      <c r="F3" s="5"/>
      <c r="G3" s="5"/>
      <c r="H3" s="5"/>
      <c r="J3" s="5"/>
      <c r="K3" s="5"/>
      <c r="L3" s="5"/>
      <c r="M3" s="5"/>
      <c r="N3" s="5"/>
    </row>
    <row r="4" spans="2:14" ht="13.5" thickBot="1">
      <c r="B4" s="399" t="s">
        <v>102</v>
      </c>
      <c r="C4" s="399"/>
      <c r="D4" s="153" t="s">
        <v>821</v>
      </c>
      <c r="E4" s="40"/>
      <c r="F4" s="5"/>
      <c r="G4" s="5"/>
      <c r="H4" s="5"/>
      <c r="J4" s="5"/>
      <c r="K4" s="5"/>
      <c r="L4" s="5"/>
      <c r="M4" s="5"/>
      <c r="N4" s="5"/>
    </row>
    <row r="5" spans="2:14" ht="13.5" thickBot="1">
      <c r="B5" s="399" t="s">
        <v>103</v>
      </c>
      <c r="C5" s="399"/>
      <c r="D5" s="30">
        <v>1</v>
      </c>
      <c r="E5" s="30" t="s">
        <v>190</v>
      </c>
      <c r="F5" s="23" t="s">
        <v>95</v>
      </c>
      <c r="G5" s="406" t="s">
        <v>845</v>
      </c>
      <c r="H5" s="407"/>
      <c r="I5" s="407"/>
      <c r="J5" s="407"/>
      <c r="K5" s="184" t="s">
        <v>62</v>
      </c>
      <c r="L5" s="185" t="str">
        <f>DQI!I13</f>
        <v>2,2,3,2,2</v>
      </c>
      <c r="M5" s="186"/>
      <c r="N5" s="197" t="s">
        <v>712</v>
      </c>
    </row>
    <row r="6" spans="2:14" ht="27.75" customHeight="1">
      <c r="B6" s="397" t="s">
        <v>104</v>
      </c>
      <c r="C6" s="398"/>
      <c r="D6" s="390" t="s">
        <v>835</v>
      </c>
      <c r="E6" s="391"/>
      <c r="F6" s="391"/>
      <c r="G6" s="391"/>
      <c r="H6" s="391"/>
      <c r="I6" s="391"/>
      <c r="J6" s="391"/>
      <c r="K6" s="391"/>
      <c r="L6" s="391"/>
      <c r="M6" s="392"/>
      <c r="N6" s="28"/>
    </row>
    <row r="7" spans="2:14" ht="13.5" thickBot="1">
      <c r="B7" s="4"/>
      <c r="C7" s="5"/>
      <c r="D7" s="5"/>
      <c r="E7" s="5"/>
      <c r="F7" s="5"/>
      <c r="G7" s="5"/>
      <c r="H7" s="5"/>
      <c r="J7" s="5"/>
      <c r="K7" s="5"/>
      <c r="L7" s="5"/>
      <c r="M7" s="5"/>
      <c r="N7" s="5"/>
    </row>
    <row r="8" spans="1:23" s="2" customFormat="1" ht="13.5" thickBot="1">
      <c r="A8" s="6"/>
      <c r="B8" s="394" t="s">
        <v>112</v>
      </c>
      <c r="C8" s="395"/>
      <c r="D8" s="395"/>
      <c r="E8" s="395"/>
      <c r="F8" s="395"/>
      <c r="G8" s="395"/>
      <c r="H8" s="395"/>
      <c r="I8" s="395"/>
      <c r="J8" s="395"/>
      <c r="K8" s="395"/>
      <c r="L8" s="395"/>
      <c r="M8" s="395"/>
      <c r="N8" s="396"/>
      <c r="O8" s="6"/>
      <c r="P8" s="6"/>
      <c r="Q8" s="6"/>
      <c r="R8" s="6"/>
      <c r="S8" s="6"/>
      <c r="T8" s="6"/>
      <c r="U8" s="6"/>
      <c r="V8" s="6"/>
      <c r="W8" s="6"/>
    </row>
    <row r="9" spans="2:14" ht="12.75">
      <c r="B9" s="4"/>
      <c r="C9" s="5"/>
      <c r="D9" s="5"/>
      <c r="E9" s="5"/>
      <c r="F9" s="5"/>
      <c r="G9" s="5"/>
      <c r="H9" s="5"/>
      <c r="J9" s="5"/>
      <c r="K9" s="5"/>
      <c r="L9" s="5"/>
      <c r="M9" s="5"/>
      <c r="N9" s="5"/>
    </row>
    <row r="10" spans="2:14" ht="12.75">
      <c r="B10" s="399" t="s">
        <v>105</v>
      </c>
      <c r="C10" s="399"/>
      <c r="D10" s="410" t="s">
        <v>185</v>
      </c>
      <c r="E10" s="409"/>
      <c r="F10" s="5"/>
      <c r="G10" s="5"/>
      <c r="H10" s="5"/>
      <c r="J10" s="5"/>
      <c r="K10" s="5"/>
      <c r="L10" s="5"/>
      <c r="M10" s="5"/>
      <c r="N10" s="5"/>
    </row>
    <row r="11" spans="2:14" ht="12.75">
      <c r="B11" s="411" t="s">
        <v>169</v>
      </c>
      <c r="C11" s="412"/>
      <c r="D11" s="408" t="s">
        <v>822</v>
      </c>
      <c r="E11" s="409"/>
      <c r="F11" s="5"/>
      <c r="G11" s="5"/>
      <c r="H11" s="5"/>
      <c r="J11" s="5"/>
      <c r="K11" s="5"/>
      <c r="L11" s="5"/>
      <c r="M11" s="5"/>
      <c r="N11" s="5"/>
    </row>
    <row r="12" spans="2:14" ht="12.75">
      <c r="B12" s="399" t="s">
        <v>106</v>
      </c>
      <c r="C12" s="399"/>
      <c r="D12" s="393">
        <v>2004</v>
      </c>
      <c r="E12" s="393"/>
      <c r="F12" s="5"/>
      <c r="G12" s="5"/>
      <c r="H12" s="5"/>
      <c r="J12" s="5"/>
      <c r="K12" s="5"/>
      <c r="L12" s="5"/>
      <c r="M12" s="5"/>
      <c r="N12" s="5"/>
    </row>
    <row r="13" spans="2:14" ht="12.75">
      <c r="B13" s="399" t="s">
        <v>107</v>
      </c>
      <c r="C13" s="399"/>
      <c r="D13" s="393" t="s">
        <v>177</v>
      </c>
      <c r="E13" s="393"/>
      <c r="F13" s="5"/>
      <c r="G13" s="5"/>
      <c r="H13" s="5"/>
      <c r="J13" s="5"/>
      <c r="K13" s="5"/>
      <c r="L13" s="5"/>
      <c r="M13" s="5"/>
      <c r="N13" s="5"/>
    </row>
    <row r="14" spans="2:14" ht="12.75">
      <c r="B14" s="399" t="s">
        <v>108</v>
      </c>
      <c r="C14" s="399"/>
      <c r="D14" s="393" t="s">
        <v>134</v>
      </c>
      <c r="E14" s="393"/>
      <c r="F14" s="5"/>
      <c r="G14" s="5"/>
      <c r="H14" s="5"/>
      <c r="J14" s="5"/>
      <c r="K14" s="5"/>
      <c r="L14" s="5"/>
      <c r="M14" s="5"/>
      <c r="N14" s="5"/>
    </row>
    <row r="15" spans="2:14" ht="12.75">
      <c r="B15" s="399" t="s">
        <v>109</v>
      </c>
      <c r="C15" s="399"/>
      <c r="D15" s="393" t="s">
        <v>186</v>
      </c>
      <c r="E15" s="393"/>
      <c r="F15" s="5"/>
      <c r="G15" s="5"/>
      <c r="H15" s="5"/>
      <c r="J15" s="5"/>
      <c r="K15" s="5"/>
      <c r="L15" s="5"/>
      <c r="M15" s="5"/>
      <c r="N15" s="5"/>
    </row>
    <row r="16" spans="2:14" ht="12.75">
      <c r="B16" s="399" t="s">
        <v>110</v>
      </c>
      <c r="C16" s="399"/>
      <c r="D16" s="393" t="s">
        <v>137</v>
      </c>
      <c r="E16" s="393"/>
      <c r="F16" s="5"/>
      <c r="G16" s="5"/>
      <c r="H16" s="5"/>
      <c r="J16" s="5"/>
      <c r="K16" s="5"/>
      <c r="L16" s="5"/>
      <c r="M16" s="5"/>
      <c r="N16" s="5"/>
    </row>
    <row r="17" spans="2:14" ht="18" customHeight="1">
      <c r="B17" s="404" t="s">
        <v>111</v>
      </c>
      <c r="C17" s="405"/>
      <c r="D17" s="400"/>
      <c r="E17" s="400"/>
      <c r="F17" s="5"/>
      <c r="G17" s="5"/>
      <c r="H17" s="5"/>
      <c r="J17" s="5"/>
      <c r="K17" s="5"/>
      <c r="L17" s="5"/>
      <c r="M17" s="5"/>
      <c r="N17" s="5"/>
    </row>
    <row r="18" spans="2:14" ht="12.75">
      <c r="B18" s="4"/>
      <c r="C18" s="5"/>
      <c r="D18" s="5"/>
      <c r="E18" s="5"/>
      <c r="F18" s="5"/>
      <c r="G18" s="5"/>
      <c r="H18" s="5"/>
      <c r="J18" s="5"/>
      <c r="K18" s="5"/>
      <c r="L18" s="5"/>
      <c r="M18" s="5"/>
      <c r="N18" s="5"/>
    </row>
    <row r="19" spans="2:14" ht="13.5" thickBot="1">
      <c r="B19" s="4"/>
      <c r="C19" s="5"/>
      <c r="D19" s="5"/>
      <c r="E19" s="5"/>
      <c r="F19" s="5"/>
      <c r="G19" s="5"/>
      <c r="H19" s="5"/>
      <c r="J19" s="5"/>
      <c r="K19" s="5"/>
      <c r="L19" s="5"/>
      <c r="M19" s="5"/>
      <c r="N19" s="5"/>
    </row>
    <row r="20" spans="1:23" s="2" customFormat="1" ht="13.5" thickBot="1">
      <c r="A20" s="6"/>
      <c r="B20" s="394" t="s">
        <v>113</v>
      </c>
      <c r="C20" s="395"/>
      <c r="D20" s="395"/>
      <c r="E20" s="395"/>
      <c r="F20" s="395"/>
      <c r="G20" s="395"/>
      <c r="H20" s="395"/>
      <c r="I20" s="395"/>
      <c r="J20" s="395"/>
      <c r="K20" s="395"/>
      <c r="L20" s="395"/>
      <c r="M20" s="395"/>
      <c r="N20" s="396"/>
      <c r="O20" s="6"/>
      <c r="P20" s="6"/>
      <c r="Q20" s="6"/>
      <c r="R20" s="6"/>
      <c r="S20" s="6"/>
      <c r="T20" s="6"/>
      <c r="U20" s="6"/>
      <c r="V20" s="6"/>
      <c r="W20" s="6"/>
    </row>
    <row r="21" spans="2:14" ht="12.75">
      <c r="B21" s="4"/>
      <c r="C21" s="5"/>
      <c r="D21" s="5"/>
      <c r="E21" s="5"/>
      <c r="F21" s="5"/>
      <c r="G21" s="198" t="s">
        <v>713</v>
      </c>
      <c r="H21" s="5"/>
      <c r="J21" s="5"/>
      <c r="K21" s="5"/>
      <c r="L21" s="5"/>
      <c r="M21" s="5"/>
      <c r="N21" s="5"/>
    </row>
    <row r="22" spans="2:14" ht="12.75">
      <c r="B22" s="4"/>
      <c r="C22" s="3" t="s">
        <v>116</v>
      </c>
      <c r="D22" s="3" t="s">
        <v>117</v>
      </c>
      <c r="E22" s="3" t="s">
        <v>118</v>
      </c>
      <c r="F22" s="3" t="s">
        <v>126</v>
      </c>
      <c r="G22" s="3" t="s">
        <v>119</v>
      </c>
      <c r="H22" s="37" t="s">
        <v>91</v>
      </c>
      <c r="I22" s="401" t="s">
        <v>93</v>
      </c>
      <c r="J22" s="402"/>
      <c r="K22" s="402"/>
      <c r="L22" s="402"/>
      <c r="M22" s="402"/>
      <c r="N22" s="403"/>
    </row>
    <row r="23" spans="2:14" ht="12.75">
      <c r="B23" s="4"/>
      <c r="C23" s="31" t="s">
        <v>823</v>
      </c>
      <c r="D23" s="31"/>
      <c r="E23" s="100">
        <f>'Mine CH4'!B16</f>
        <v>15.8</v>
      </c>
      <c r="F23" s="182" t="s">
        <v>651</v>
      </c>
      <c r="G23" s="31"/>
      <c r="H23" s="367" t="s">
        <v>844</v>
      </c>
      <c r="I23" s="183" t="s">
        <v>808</v>
      </c>
      <c r="J23" s="39"/>
      <c r="K23" s="39"/>
      <c r="L23" s="39"/>
      <c r="M23" s="39"/>
      <c r="N23" s="40"/>
    </row>
    <row r="24" spans="2:14" ht="12.75">
      <c r="B24" s="4"/>
      <c r="C24" s="31" t="s">
        <v>824</v>
      </c>
      <c r="D24" s="31" t="s">
        <v>825</v>
      </c>
      <c r="E24" s="114">
        <f>E23/23.8/907.18474/2.204622</f>
        <v>0.0003319328667361732</v>
      </c>
      <c r="F24" s="182" t="s">
        <v>671</v>
      </c>
      <c r="G24" s="31"/>
      <c r="H24" s="38" t="s">
        <v>532</v>
      </c>
      <c r="I24" s="183" t="s">
        <v>680</v>
      </c>
      <c r="J24" s="39"/>
      <c r="K24" s="39"/>
      <c r="L24" s="39"/>
      <c r="M24" s="39"/>
      <c r="N24" s="40"/>
    </row>
    <row r="25" spans="2:14" ht="12.75">
      <c r="B25" s="4"/>
      <c r="C25" s="31" t="s">
        <v>441</v>
      </c>
      <c r="D25" s="31"/>
      <c r="E25" s="101">
        <f>'Mine PM'!D21</f>
        <v>1.230949404254986E-06</v>
      </c>
      <c r="F25" s="182" t="s">
        <v>672</v>
      </c>
      <c r="G25" s="31"/>
      <c r="H25" s="38">
        <v>8</v>
      </c>
      <c r="I25" s="183" t="s">
        <v>675</v>
      </c>
      <c r="J25" s="39"/>
      <c r="K25" s="39"/>
      <c r="L25" s="39"/>
      <c r="M25" s="39"/>
      <c r="N25" s="40"/>
    </row>
    <row r="26" spans="2:14" ht="12.75">
      <c r="B26" s="4"/>
      <c r="C26" s="31" t="s">
        <v>442</v>
      </c>
      <c r="D26" t="s">
        <v>826</v>
      </c>
      <c r="E26" s="115">
        <f>E25+E24+1</f>
        <v>1.0003331638161403</v>
      </c>
      <c r="F26" s="182" t="s">
        <v>673</v>
      </c>
      <c r="G26" s="31"/>
      <c r="H26" s="38"/>
      <c r="I26" s="183" t="s">
        <v>676</v>
      </c>
      <c r="J26" s="39"/>
      <c r="K26" s="39"/>
      <c r="L26" s="39"/>
      <c r="M26" s="39"/>
      <c r="N26" s="40"/>
    </row>
    <row r="27" spans="2:14" ht="12.75">
      <c r="B27" s="4"/>
      <c r="C27" s="31" t="s">
        <v>504</v>
      </c>
      <c r="D27" s="31"/>
      <c r="E27" s="31">
        <f>'Diesel Emissions'!C27</f>
        <v>4.7421717522961905E-08</v>
      </c>
      <c r="F27" s="182" t="s">
        <v>671</v>
      </c>
      <c r="G27" s="31"/>
      <c r="H27" s="38">
        <v>5</v>
      </c>
      <c r="I27" s="183" t="s">
        <v>677</v>
      </c>
      <c r="J27" s="39"/>
      <c r="K27" s="39"/>
      <c r="L27" s="39"/>
      <c r="M27" s="39"/>
      <c r="N27" s="40"/>
    </row>
    <row r="28" spans="2:14" ht="12.75">
      <c r="B28" s="4"/>
      <c r="C28" s="31" t="s">
        <v>505</v>
      </c>
      <c r="D28" s="31" t="s">
        <v>827</v>
      </c>
      <c r="E28" s="114">
        <f>E24+E27</f>
        <v>0.00033198028845369615</v>
      </c>
      <c r="F28" s="182" t="s">
        <v>671</v>
      </c>
      <c r="G28" s="31"/>
      <c r="H28" s="38"/>
      <c r="I28" s="183" t="s">
        <v>820</v>
      </c>
      <c r="J28" s="39"/>
      <c r="K28" s="39"/>
      <c r="L28" s="39"/>
      <c r="M28" s="39"/>
      <c r="N28" s="40"/>
    </row>
    <row r="29" spans="2:14" ht="12.75">
      <c r="B29" s="4"/>
      <c r="C29" s="31" t="s">
        <v>506</v>
      </c>
      <c r="D29" s="31"/>
      <c r="E29" s="31">
        <f>'Diesel Emissions'!C30</f>
        <v>1.7006409042717375E-08</v>
      </c>
      <c r="F29" s="182" t="s">
        <v>674</v>
      </c>
      <c r="G29" s="31"/>
      <c r="H29" s="38">
        <v>12</v>
      </c>
      <c r="I29" s="183" t="s">
        <v>678</v>
      </c>
      <c r="J29" s="39"/>
      <c r="K29" s="39"/>
      <c r="L29" s="39"/>
      <c r="M29" s="39"/>
      <c r="N29" s="40"/>
    </row>
    <row r="30" spans="2:14" ht="12.75">
      <c r="B30" s="4"/>
      <c r="C30" s="31" t="s">
        <v>507</v>
      </c>
      <c r="D30" s="31" t="s">
        <v>508</v>
      </c>
      <c r="E30" s="101">
        <f>E29+E25</f>
        <v>1.2479558132977034E-06</v>
      </c>
      <c r="F30" s="182" t="s">
        <v>674</v>
      </c>
      <c r="G30" s="31"/>
      <c r="H30" s="38"/>
      <c r="I30" s="183" t="s">
        <v>679</v>
      </c>
      <c r="J30" s="39"/>
      <c r="K30" s="39"/>
      <c r="L30" s="39"/>
      <c r="M30" s="39"/>
      <c r="N30" s="40"/>
    </row>
    <row r="31" spans="2:14" ht="12.75">
      <c r="B31" s="4"/>
      <c r="C31" s="31"/>
      <c r="D31" s="31"/>
      <c r="E31" s="31"/>
      <c r="F31" s="31"/>
      <c r="G31" s="31"/>
      <c r="H31" s="38"/>
      <c r="I31" s="39"/>
      <c r="J31" s="39"/>
      <c r="K31" s="39"/>
      <c r="L31" s="39"/>
      <c r="M31" s="39"/>
      <c r="N31" s="40"/>
    </row>
    <row r="32" spans="2:14" ht="12.75">
      <c r="B32" s="4"/>
      <c r="C32" s="22" t="s">
        <v>92</v>
      </c>
      <c r="D32" s="21" t="s">
        <v>96</v>
      </c>
      <c r="E32" s="21"/>
      <c r="F32" s="21"/>
      <c r="G32" s="21"/>
      <c r="H32" s="43"/>
      <c r="I32" s="41"/>
      <c r="J32" s="41"/>
      <c r="K32" s="41"/>
      <c r="L32" s="41"/>
      <c r="M32" s="41"/>
      <c r="N32" s="42"/>
    </row>
    <row r="33" spans="2:14" ht="13.5" thickBot="1">
      <c r="B33" s="4"/>
      <c r="C33" s="5"/>
      <c r="D33" s="5"/>
      <c r="E33" s="5"/>
      <c r="F33" s="5"/>
      <c r="G33" s="5"/>
      <c r="H33" s="5"/>
      <c r="J33" s="5"/>
      <c r="K33" s="5"/>
      <c r="L33" s="5"/>
      <c r="M33" s="5"/>
      <c r="N33" s="5"/>
    </row>
    <row r="34" spans="1:23" s="2" customFormat="1" ht="13.5" thickBot="1">
      <c r="A34" s="6"/>
      <c r="B34" s="394" t="s">
        <v>114</v>
      </c>
      <c r="C34" s="395"/>
      <c r="D34" s="395"/>
      <c r="E34" s="395"/>
      <c r="F34" s="395"/>
      <c r="G34" s="395"/>
      <c r="H34" s="395"/>
      <c r="I34" s="395"/>
      <c r="J34" s="395"/>
      <c r="K34" s="395"/>
      <c r="L34" s="395"/>
      <c r="M34" s="395"/>
      <c r="N34" s="396"/>
      <c r="O34" s="6"/>
      <c r="P34" s="6"/>
      <c r="Q34" s="6"/>
      <c r="R34" s="6"/>
      <c r="S34" s="6"/>
      <c r="T34" s="6"/>
      <c r="U34" s="6"/>
      <c r="V34" s="6"/>
      <c r="W34" s="6"/>
    </row>
    <row r="35" spans="2:14" ht="12.75">
      <c r="B35" s="4"/>
      <c r="C35" s="5"/>
      <c r="D35" s="5"/>
      <c r="E35" s="5"/>
      <c r="F35" s="5"/>
      <c r="G35" s="5"/>
      <c r="H35" s="198" t="s">
        <v>714</v>
      </c>
      <c r="J35" s="5"/>
      <c r="K35" s="5"/>
      <c r="L35" s="5"/>
      <c r="M35" s="5"/>
      <c r="N35" s="5"/>
    </row>
    <row r="36" spans="2:14" ht="12.75">
      <c r="B36" s="4"/>
      <c r="C36" s="3" t="s">
        <v>120</v>
      </c>
      <c r="D36" s="3" t="s">
        <v>125</v>
      </c>
      <c r="E36" s="3" t="s">
        <v>118</v>
      </c>
      <c r="F36" s="3" t="s">
        <v>126</v>
      </c>
      <c r="G36" s="3" t="s">
        <v>120</v>
      </c>
      <c r="H36" s="3" t="s">
        <v>122</v>
      </c>
      <c r="I36" s="3" t="s">
        <v>98</v>
      </c>
      <c r="J36" s="3" t="s">
        <v>97</v>
      </c>
      <c r="K36" s="3" t="s">
        <v>123</v>
      </c>
      <c r="L36" s="3" t="s">
        <v>124</v>
      </c>
      <c r="M36" s="3" t="s">
        <v>91</v>
      </c>
      <c r="N36" s="3" t="s">
        <v>93</v>
      </c>
    </row>
    <row r="37" spans="2:14" ht="12.75">
      <c r="B37" s="4"/>
      <c r="C37" s="32"/>
      <c r="D37" s="150" t="s">
        <v>653</v>
      </c>
      <c r="E37" s="32">
        <f>'Elec Demand'!F8</f>
        <v>0.033056912433893845</v>
      </c>
      <c r="F37" s="32" t="s">
        <v>188</v>
      </c>
      <c r="G37" s="35">
        <f>IF($C37="",1,VLOOKUP($C37,$C$22:$H$32,3,FALSE))</f>
        <v>1</v>
      </c>
      <c r="H37" s="35"/>
      <c r="I37" s="35">
        <f>IF(D37="","",E37*G37*$D$5)</f>
        <v>0.033056912433893845</v>
      </c>
      <c r="J37" s="32" t="s">
        <v>188</v>
      </c>
      <c r="K37" s="33" t="s">
        <v>172</v>
      </c>
      <c r="L37" s="32" t="s">
        <v>143</v>
      </c>
      <c r="M37" s="34">
        <v>2</v>
      </c>
      <c r="N37" s="152" t="s">
        <v>681</v>
      </c>
    </row>
    <row r="38" spans="1:23" s="359" customFormat="1" ht="25.5">
      <c r="A38" s="350"/>
      <c r="B38" s="351"/>
      <c r="C38" s="352" t="s">
        <v>440</v>
      </c>
      <c r="D38" s="368" t="s">
        <v>846</v>
      </c>
      <c r="E38" s="352">
        <v>1</v>
      </c>
      <c r="F38" s="352" t="s">
        <v>190</v>
      </c>
      <c r="G38" s="354">
        <f>IF($C38="",1,VLOOKUP($C38,$C$22:$H$32,3,FALSE))</f>
        <v>1.0003331638161403</v>
      </c>
      <c r="H38" s="355" t="str">
        <f>IF($C38="","",VLOOKUP($C38,$C$22:$H$32,4,FALSE))</f>
        <v>kg coal input/kg coal </v>
      </c>
      <c r="I38" s="355">
        <f>IF(D38="","",E38*G38*$D$5)</f>
        <v>1.0003331638161403</v>
      </c>
      <c r="J38" s="352" t="s">
        <v>190</v>
      </c>
      <c r="K38" s="356"/>
      <c r="L38" s="352" t="s">
        <v>142</v>
      </c>
      <c r="M38" s="357"/>
      <c r="N38" s="358" t="s">
        <v>682</v>
      </c>
      <c r="O38" s="350"/>
      <c r="P38" s="350"/>
      <c r="Q38" s="350"/>
      <c r="R38" s="350"/>
      <c r="S38" s="350"/>
      <c r="T38" s="350"/>
      <c r="U38" s="350"/>
      <c r="V38" s="350"/>
      <c r="W38" s="350"/>
    </row>
    <row r="39" spans="2:14" ht="12.75">
      <c r="B39" s="4"/>
      <c r="C39" s="32"/>
      <c r="D39" s="150" t="s">
        <v>652</v>
      </c>
      <c r="E39" s="32">
        <f>'Diesel Use'!B10</f>
        <v>0.0003095012554125042</v>
      </c>
      <c r="F39" s="142" t="s">
        <v>299</v>
      </c>
      <c r="G39" s="35">
        <f>IF($C39="",1,VLOOKUP($C39,$C$22:$H$32,3,FALSE))</f>
        <v>1</v>
      </c>
      <c r="H39" s="35">
        <f>IF($C39="","",VLOOKUP($C39,$C$22:$H$32,4,FALSE))</f>
      </c>
      <c r="I39" s="35">
        <f>IF(D39="","",E39*G39*$D$5)</f>
        <v>0.0003095012554125042</v>
      </c>
      <c r="J39" s="142" t="s">
        <v>299</v>
      </c>
      <c r="K39" s="33" t="s">
        <v>172</v>
      </c>
      <c r="L39" s="32" t="s">
        <v>143</v>
      </c>
      <c r="M39" s="34">
        <v>11</v>
      </c>
      <c r="N39" s="152" t="s">
        <v>683</v>
      </c>
    </row>
    <row r="40" spans="1:23" s="359" customFormat="1" ht="25.5">
      <c r="A40" s="350"/>
      <c r="B40" s="351"/>
      <c r="C40" s="352"/>
      <c r="D40" s="353" t="s">
        <v>654</v>
      </c>
      <c r="E40" s="352">
        <f>'Water Usage'!G25</f>
        <v>0.3454806650864052</v>
      </c>
      <c r="F40" s="360" t="s">
        <v>299</v>
      </c>
      <c r="G40" s="355">
        <f>IF($C40="",1,VLOOKUP($C40,$C$22:$H$32,3,FALSE))</f>
        <v>1</v>
      </c>
      <c r="H40" s="355">
        <f>IF($C40="","",VLOOKUP($C40,$C$22:$H$32,4,FALSE))</f>
      </c>
      <c r="I40" s="355">
        <f>IF(D40="","",E40*G40*$D$5)</f>
        <v>0.3454806650864052</v>
      </c>
      <c r="J40" s="360" t="s">
        <v>299</v>
      </c>
      <c r="K40" s="356"/>
      <c r="L40" s="352" t="s">
        <v>144</v>
      </c>
      <c r="M40" s="357">
        <v>1</v>
      </c>
      <c r="N40" s="361" t="s">
        <v>684</v>
      </c>
      <c r="O40" s="350"/>
      <c r="P40" s="350"/>
      <c r="Q40" s="350"/>
      <c r="R40" s="350"/>
      <c r="S40" s="350"/>
      <c r="T40" s="350"/>
      <c r="U40" s="350"/>
      <c r="V40" s="350"/>
      <c r="W40" s="350"/>
    </row>
    <row r="41" spans="2:14" ht="12.75">
      <c r="B41" s="4"/>
      <c r="C41" s="32"/>
      <c r="D41" s="32"/>
      <c r="E41" s="32"/>
      <c r="F41" s="32"/>
      <c r="G41" s="35">
        <f>IF($C41="",1,VLOOKUP($C41,$C$22:$H$32,3,FALSE))</f>
        <v>1</v>
      </c>
      <c r="H41" s="35"/>
      <c r="I41" s="35"/>
      <c r="J41" s="32"/>
      <c r="K41" s="33"/>
      <c r="L41" s="32"/>
      <c r="M41" s="34"/>
      <c r="N41" s="34"/>
    </row>
    <row r="42" spans="2:14" ht="12.75">
      <c r="B42" s="4"/>
      <c r="C42" s="25" t="s">
        <v>92</v>
      </c>
      <c r="D42" s="26" t="s">
        <v>94</v>
      </c>
      <c r="E42" s="27" t="s">
        <v>121</v>
      </c>
      <c r="F42" s="26"/>
      <c r="G42" s="26"/>
      <c r="H42" s="26"/>
      <c r="I42" s="27" t="s">
        <v>99</v>
      </c>
      <c r="J42" s="26"/>
      <c r="K42" s="27"/>
      <c r="L42" s="26" t="s">
        <v>145</v>
      </c>
      <c r="M42" s="24"/>
      <c r="N42" s="24"/>
    </row>
    <row r="43" s="5" customFormat="1" ht="13.5" thickBot="1">
      <c r="B43" s="4"/>
    </row>
    <row r="44" spans="1:23" s="2" customFormat="1" ht="13.5" thickBot="1">
      <c r="A44" s="6"/>
      <c r="B44" s="394" t="s">
        <v>115</v>
      </c>
      <c r="C44" s="395"/>
      <c r="D44" s="395"/>
      <c r="E44" s="395"/>
      <c r="F44" s="395"/>
      <c r="G44" s="395"/>
      <c r="H44" s="395"/>
      <c r="I44" s="395"/>
      <c r="J44" s="395"/>
      <c r="K44" s="395"/>
      <c r="L44" s="395"/>
      <c r="M44" s="395"/>
      <c r="N44" s="396"/>
      <c r="O44" s="6"/>
      <c r="P44" s="6"/>
      <c r="Q44" s="6"/>
      <c r="R44" s="6"/>
      <c r="S44" s="6"/>
      <c r="T44" s="6"/>
      <c r="U44" s="6"/>
      <c r="V44" s="6"/>
      <c r="W44" s="6"/>
    </row>
    <row r="45" spans="2:14" ht="12.75">
      <c r="B45" s="4"/>
      <c r="C45" s="5"/>
      <c r="D45" s="5"/>
      <c r="E45" s="5"/>
      <c r="F45" s="5"/>
      <c r="G45" s="5"/>
      <c r="H45" s="198" t="s">
        <v>715</v>
      </c>
      <c r="J45" s="5"/>
      <c r="K45" s="5"/>
      <c r="L45" s="5"/>
      <c r="M45" s="5"/>
      <c r="N45" s="5"/>
    </row>
    <row r="46" spans="2:14" ht="12.75">
      <c r="B46" s="4"/>
      <c r="C46" s="3" t="s">
        <v>120</v>
      </c>
      <c r="D46" s="3" t="s">
        <v>125</v>
      </c>
      <c r="E46" s="3" t="s">
        <v>118</v>
      </c>
      <c r="F46" s="3" t="s">
        <v>126</v>
      </c>
      <c r="G46" s="3" t="s">
        <v>120</v>
      </c>
      <c r="H46" s="3" t="s">
        <v>122</v>
      </c>
      <c r="I46" s="3" t="s">
        <v>98</v>
      </c>
      <c r="J46" s="3" t="s">
        <v>97</v>
      </c>
      <c r="K46" s="3" t="s">
        <v>123</v>
      </c>
      <c r="L46" s="3" t="s">
        <v>124</v>
      </c>
      <c r="M46" s="3" t="s">
        <v>91</v>
      </c>
      <c r="N46" s="3" t="s">
        <v>93</v>
      </c>
    </row>
    <row r="47" spans="2:14" ht="12.75">
      <c r="B47" s="4"/>
      <c r="C47" s="32"/>
      <c r="D47" s="369" t="s">
        <v>847</v>
      </c>
      <c r="E47" s="32">
        <v>1</v>
      </c>
      <c r="F47" s="32" t="s">
        <v>190</v>
      </c>
      <c r="G47" s="35">
        <f aca="true" t="shared" si="0" ref="G47:G56">IF($C47="",1,VLOOKUP($C47,$C$22:$H$32,3,FALSE))</f>
        <v>1</v>
      </c>
      <c r="H47" s="35">
        <f aca="true" t="shared" si="1" ref="H47:H56">IF($C47="","",VLOOKUP($C47,$C$22:$H$32,4,FALSE))</f>
      </c>
      <c r="I47" s="35">
        <f aca="true" t="shared" si="2" ref="I47:I55">IF(D47="","",E47*G47*$D$5)</f>
        <v>1</v>
      </c>
      <c r="J47" s="32" t="s">
        <v>190</v>
      </c>
      <c r="K47" s="33" t="s">
        <v>172</v>
      </c>
      <c r="L47" s="32"/>
      <c r="M47" s="34"/>
      <c r="N47" s="152" t="s">
        <v>586</v>
      </c>
    </row>
    <row r="48" spans="2:14" ht="12.75">
      <c r="B48" s="4"/>
      <c r="C48" s="32"/>
      <c r="D48" s="32"/>
      <c r="E48" s="32"/>
      <c r="F48" s="32"/>
      <c r="G48" s="35">
        <f t="shared" si="0"/>
        <v>1</v>
      </c>
      <c r="H48" s="35">
        <f t="shared" si="1"/>
      </c>
      <c r="I48" s="35">
        <f t="shared" si="2"/>
      </c>
      <c r="J48" s="32"/>
      <c r="K48" s="33"/>
      <c r="L48" s="32"/>
      <c r="M48" s="34"/>
      <c r="N48" s="34"/>
    </row>
    <row r="49" spans="2:14" ht="12.75">
      <c r="B49" s="4"/>
      <c r="C49" s="32"/>
      <c r="D49" s="151" t="s">
        <v>655</v>
      </c>
      <c r="E49" s="32">
        <f>'Diesel Emissions'!C26</f>
        <v>0.0008294882824050561</v>
      </c>
      <c r="F49" s="32" t="s">
        <v>190</v>
      </c>
      <c r="G49" s="35">
        <f t="shared" si="0"/>
        <v>1</v>
      </c>
      <c r="H49" s="35">
        <f t="shared" si="1"/>
      </c>
      <c r="I49" s="35">
        <f t="shared" si="2"/>
        <v>0.0008294882824050561</v>
      </c>
      <c r="J49" s="32" t="s">
        <v>190</v>
      </c>
      <c r="K49" s="33"/>
      <c r="L49" s="32" t="s">
        <v>142</v>
      </c>
      <c r="M49" s="34">
        <v>5</v>
      </c>
      <c r="N49" s="152" t="s">
        <v>686</v>
      </c>
    </row>
    <row r="50" spans="2:14" ht="12.75">
      <c r="B50" s="4"/>
      <c r="C50" s="32"/>
      <c r="D50" s="151" t="s">
        <v>656</v>
      </c>
      <c r="E50" s="32">
        <f>'Diesel Emissions'!C31</f>
        <v>2.3808972659804327E-07</v>
      </c>
      <c r="F50" s="32" t="s">
        <v>190</v>
      </c>
      <c r="G50" s="35">
        <f t="shared" si="0"/>
        <v>1</v>
      </c>
      <c r="H50" s="35">
        <f t="shared" si="1"/>
      </c>
      <c r="I50" s="35">
        <f>IF(D50="","",E50*G50*$D$5)</f>
        <v>2.3808972659804327E-07</v>
      </c>
      <c r="J50" s="32" t="s">
        <v>190</v>
      </c>
      <c r="K50" s="33"/>
      <c r="L50" s="32" t="s">
        <v>142</v>
      </c>
      <c r="M50" s="34">
        <v>12</v>
      </c>
      <c r="N50" s="152" t="s">
        <v>686</v>
      </c>
    </row>
    <row r="51" spans="2:14" ht="12.75">
      <c r="B51" s="4"/>
      <c r="C51" s="31" t="s">
        <v>505</v>
      </c>
      <c r="D51" s="151" t="s">
        <v>657</v>
      </c>
      <c r="E51" s="32">
        <v>1</v>
      </c>
      <c r="F51" s="32" t="s">
        <v>190</v>
      </c>
      <c r="G51" s="35">
        <f t="shared" si="0"/>
        <v>0.00033198028845369615</v>
      </c>
      <c r="H51" s="35" t="str">
        <f t="shared" si="1"/>
        <v>kg CH4/kg coal </v>
      </c>
      <c r="I51" s="35">
        <f t="shared" si="2"/>
        <v>0.00033198028845369615</v>
      </c>
      <c r="J51" s="32" t="s">
        <v>190</v>
      </c>
      <c r="K51" s="33"/>
      <c r="L51" s="32" t="s">
        <v>142</v>
      </c>
      <c r="M51" s="34">
        <v>5</v>
      </c>
      <c r="N51" s="152" t="s">
        <v>686</v>
      </c>
    </row>
    <row r="52" spans="2:14" ht="12.75">
      <c r="B52" s="4"/>
      <c r="C52" s="32"/>
      <c r="D52" s="151" t="s">
        <v>659</v>
      </c>
      <c r="E52" s="32">
        <f>'Diesel Emissions'!C29</f>
        <v>5.101922712815213E-07</v>
      </c>
      <c r="F52" s="32" t="s">
        <v>190</v>
      </c>
      <c r="G52" s="35">
        <f t="shared" si="0"/>
        <v>1</v>
      </c>
      <c r="H52" s="35">
        <f t="shared" si="1"/>
      </c>
      <c r="I52" s="35">
        <f>IF(D52="","",E52*G52*$D$5)</f>
        <v>5.101922712815213E-07</v>
      </c>
      <c r="J52" s="32" t="s">
        <v>190</v>
      </c>
      <c r="K52" s="33"/>
      <c r="L52" s="32" t="s">
        <v>142</v>
      </c>
      <c r="M52" s="34">
        <v>12</v>
      </c>
      <c r="N52" s="152" t="s">
        <v>686</v>
      </c>
    </row>
    <row r="53" spans="2:14" ht="12.75">
      <c r="B53" s="4"/>
      <c r="C53" s="32"/>
      <c r="D53" s="151" t="s">
        <v>658</v>
      </c>
      <c r="E53" s="32">
        <f>'Diesel Emissions'!C28</f>
        <v>2.125801130339672E-08</v>
      </c>
      <c r="F53" s="32" t="s">
        <v>190</v>
      </c>
      <c r="G53" s="35"/>
      <c r="H53" s="35"/>
      <c r="I53" s="129">
        <f>'Diesel Emissions'!C28</f>
        <v>2.125801130339672E-08</v>
      </c>
      <c r="J53" s="32" t="s">
        <v>190</v>
      </c>
      <c r="K53" s="33"/>
      <c r="L53" s="32" t="s">
        <v>142</v>
      </c>
      <c r="M53" s="34">
        <v>5</v>
      </c>
      <c r="N53" s="152" t="s">
        <v>686</v>
      </c>
    </row>
    <row r="54" spans="2:14" ht="12.75">
      <c r="B54" s="4"/>
      <c r="C54" s="32"/>
      <c r="D54" s="151" t="s">
        <v>818</v>
      </c>
      <c r="E54" s="32">
        <f>'Diesel Emissions'!C33</f>
        <v>7.820401024901293E-09</v>
      </c>
      <c r="F54" s="32" t="s">
        <v>190</v>
      </c>
      <c r="G54" s="35">
        <f t="shared" si="0"/>
        <v>1</v>
      </c>
      <c r="H54" s="35">
        <f t="shared" si="1"/>
      </c>
      <c r="I54" s="35">
        <f t="shared" si="2"/>
        <v>7.820401024901293E-09</v>
      </c>
      <c r="J54" s="32" t="s">
        <v>190</v>
      </c>
      <c r="K54" s="33"/>
      <c r="L54" s="32" t="s">
        <v>142</v>
      </c>
      <c r="M54" s="34"/>
      <c r="N54" s="152" t="s">
        <v>686</v>
      </c>
    </row>
    <row r="55" spans="2:14" ht="12.75">
      <c r="B55" s="4"/>
      <c r="C55" s="31" t="s">
        <v>507</v>
      </c>
      <c r="D55" s="151" t="s">
        <v>660</v>
      </c>
      <c r="E55" s="32">
        <v>1</v>
      </c>
      <c r="F55" s="32" t="s">
        <v>190</v>
      </c>
      <c r="G55" s="35">
        <f t="shared" si="0"/>
        <v>1.2479558132977034E-06</v>
      </c>
      <c r="H55" s="35" t="str">
        <f t="shared" si="1"/>
        <v>kg dust/kg coal </v>
      </c>
      <c r="I55" s="35">
        <f t="shared" si="2"/>
        <v>1.2479558132977034E-06</v>
      </c>
      <c r="J55" s="32" t="s">
        <v>190</v>
      </c>
      <c r="K55" s="33"/>
      <c r="L55" s="32" t="s">
        <v>142</v>
      </c>
      <c r="M55" s="34">
        <v>12</v>
      </c>
      <c r="N55" s="152" t="s">
        <v>686</v>
      </c>
    </row>
    <row r="56" spans="2:14" ht="12.75">
      <c r="B56" s="4"/>
      <c r="C56" s="32"/>
      <c r="D56" s="151" t="s">
        <v>661</v>
      </c>
      <c r="E56" s="32">
        <f>'Diesel Emissions'!C32</f>
        <v>4.4385869543124095E-06</v>
      </c>
      <c r="F56" s="32" t="s">
        <v>190</v>
      </c>
      <c r="G56" s="35">
        <f t="shared" si="0"/>
        <v>1</v>
      </c>
      <c r="H56" s="35">
        <f t="shared" si="1"/>
      </c>
      <c r="I56" s="35">
        <f>IF(D56="","",E56*G56*$D$5)</f>
        <v>4.4385869543124095E-06</v>
      </c>
      <c r="J56" s="32" t="s">
        <v>190</v>
      </c>
      <c r="K56" s="33"/>
      <c r="L56" s="32" t="s">
        <v>142</v>
      </c>
      <c r="M56" s="34">
        <v>12</v>
      </c>
      <c r="N56" s="152" t="s">
        <v>686</v>
      </c>
    </row>
    <row r="57" spans="2:14" ht="12.75">
      <c r="B57" s="4"/>
      <c r="C57" s="32"/>
      <c r="D57" s="151" t="s">
        <v>663</v>
      </c>
      <c r="E57" s="32">
        <f>'Diesel Emissions'!C35</f>
        <v>4.080815241012765E-14</v>
      </c>
      <c r="F57" s="32" t="s">
        <v>190</v>
      </c>
      <c r="G57" s="35"/>
      <c r="H57" s="35"/>
      <c r="I57" s="35">
        <f>+E57</f>
        <v>4.080815241012765E-14</v>
      </c>
      <c r="J57" s="32" t="s">
        <v>190</v>
      </c>
      <c r="K57" s="33"/>
      <c r="L57" s="32" t="s">
        <v>142</v>
      </c>
      <c r="M57" s="34">
        <v>6</v>
      </c>
      <c r="N57" s="152" t="s">
        <v>686</v>
      </c>
    </row>
    <row r="58" spans="2:14" ht="12.75">
      <c r="B58" s="4"/>
      <c r="C58" s="32"/>
      <c r="D58" s="151" t="s">
        <v>664</v>
      </c>
      <c r="E58" s="32">
        <f>'Diesel Emissions'!C34</f>
        <v>3.404513809537546E-08</v>
      </c>
      <c r="F58" s="32" t="s">
        <v>190</v>
      </c>
      <c r="G58" s="35">
        <f>IF($C58="",1,VLOOKUP($C58,$C$22:$H$32,3,FALSE))</f>
        <v>1</v>
      </c>
      <c r="H58" s="35">
        <f>IF($C58="","",VLOOKUP($C58,$C$22:$H$32,4,FALSE))</f>
      </c>
      <c r="I58" s="35">
        <f>IF(D58="","",E58*G58*$D$5)</f>
        <v>3.404513809537546E-08</v>
      </c>
      <c r="J58" s="32" t="s">
        <v>190</v>
      </c>
      <c r="K58" s="33"/>
      <c r="L58" s="32" t="s">
        <v>142</v>
      </c>
      <c r="M58" s="34">
        <v>7</v>
      </c>
      <c r="N58" s="152" t="s">
        <v>686</v>
      </c>
    </row>
    <row r="59" spans="2:14" ht="12.75">
      <c r="B59" s="4"/>
      <c r="C59" s="32"/>
      <c r="D59" s="151" t="s">
        <v>665</v>
      </c>
      <c r="E59" s="32">
        <f>'WQ Emissions'!Z51</f>
        <v>0.9923707845227897</v>
      </c>
      <c r="F59" s="142" t="s">
        <v>299</v>
      </c>
      <c r="G59" s="35"/>
      <c r="H59" s="35"/>
      <c r="I59" s="35">
        <f>'WQ Emissions'!Z51</f>
        <v>0.9923707845227897</v>
      </c>
      <c r="J59" s="142" t="s">
        <v>299</v>
      </c>
      <c r="K59" s="33"/>
      <c r="L59" s="32" t="s">
        <v>142</v>
      </c>
      <c r="M59" s="34">
        <v>4</v>
      </c>
      <c r="N59" s="152" t="s">
        <v>687</v>
      </c>
    </row>
    <row r="60" spans="2:14" ht="12.75">
      <c r="B60" s="4"/>
      <c r="C60" s="32"/>
      <c r="D60" s="151" t="s">
        <v>666</v>
      </c>
      <c r="E60" s="32">
        <f>'WQ Emissions'!AC65</f>
        <v>8.708155077805522E-06</v>
      </c>
      <c r="F60" s="142" t="s">
        <v>190</v>
      </c>
      <c r="G60" s="35"/>
      <c r="H60" s="35"/>
      <c r="I60" s="35">
        <f>'WQ Emissions'!AC65</f>
        <v>8.708155077805522E-06</v>
      </c>
      <c r="J60" s="142" t="s">
        <v>190</v>
      </c>
      <c r="K60" s="33"/>
      <c r="L60" s="32" t="s">
        <v>142</v>
      </c>
      <c r="M60" s="34">
        <v>4</v>
      </c>
      <c r="N60" s="152" t="s">
        <v>687</v>
      </c>
    </row>
    <row r="61" spans="2:14" ht="12.75">
      <c r="B61" s="4"/>
      <c r="C61" s="32"/>
      <c r="D61" s="151" t="s">
        <v>667</v>
      </c>
      <c r="E61" s="32">
        <f>'WQ Emissions'!AL65</f>
        <v>1.0210606988098171E-07</v>
      </c>
      <c r="F61" s="142" t="s">
        <v>190</v>
      </c>
      <c r="G61" s="35"/>
      <c r="H61" s="35"/>
      <c r="I61" s="35">
        <f>'WQ Emissions'!AL65</f>
        <v>1.0210606988098171E-07</v>
      </c>
      <c r="J61" s="142" t="s">
        <v>190</v>
      </c>
      <c r="K61" s="33"/>
      <c r="L61" s="142" t="s">
        <v>142</v>
      </c>
      <c r="M61" s="34">
        <v>4</v>
      </c>
      <c r="N61" s="152" t="s">
        <v>687</v>
      </c>
    </row>
    <row r="62" spans="2:14" ht="12.75">
      <c r="B62" s="4"/>
      <c r="C62" s="32"/>
      <c r="D62" s="47" t="s">
        <v>685</v>
      </c>
      <c r="E62" s="32">
        <f>'WQ Emissions'!AU65</f>
        <v>8.296047536972239E-05</v>
      </c>
      <c r="F62" s="142" t="s">
        <v>190</v>
      </c>
      <c r="G62" s="35"/>
      <c r="H62" s="35"/>
      <c r="I62" s="35">
        <f>'WQ Emissions'!AU65</f>
        <v>8.296047536972239E-05</v>
      </c>
      <c r="J62" s="142" t="s">
        <v>190</v>
      </c>
      <c r="K62" s="33"/>
      <c r="L62" s="142" t="s">
        <v>142</v>
      </c>
      <c r="M62" s="34">
        <v>4</v>
      </c>
      <c r="N62" s="152" t="s">
        <v>687</v>
      </c>
    </row>
    <row r="63" spans="2:14" ht="12.75">
      <c r="B63" s="4"/>
      <c r="C63" s="32"/>
      <c r="D63" s="151" t="s">
        <v>670</v>
      </c>
      <c r="E63" s="32">
        <f>'WQ Emissions'!BD67</f>
        <v>0</v>
      </c>
      <c r="F63" s="142" t="s">
        <v>190</v>
      </c>
      <c r="G63" s="35"/>
      <c r="H63" s="35"/>
      <c r="I63" s="35">
        <f>'WQ Emissions'!BD67</f>
        <v>0</v>
      </c>
      <c r="J63" s="142" t="s">
        <v>190</v>
      </c>
      <c r="K63" s="33"/>
      <c r="L63" s="142" t="s">
        <v>142</v>
      </c>
      <c r="M63" s="34">
        <v>4</v>
      </c>
      <c r="N63" s="152" t="s">
        <v>687</v>
      </c>
    </row>
    <row r="64" spans="2:14" ht="12.75">
      <c r="B64" s="4"/>
      <c r="C64" s="32"/>
      <c r="D64" s="151" t="s">
        <v>662</v>
      </c>
      <c r="E64" s="32">
        <f>'WQ Emissions'!BV65</f>
        <v>0.0022674245456208242</v>
      </c>
      <c r="F64" s="142" t="s">
        <v>190</v>
      </c>
      <c r="G64" s="35"/>
      <c r="H64" s="35"/>
      <c r="I64" s="35">
        <f>'WQ Emissions'!BV65</f>
        <v>0.0022674245456208242</v>
      </c>
      <c r="J64" s="142" t="s">
        <v>190</v>
      </c>
      <c r="K64" s="33"/>
      <c r="L64" s="142" t="s">
        <v>142</v>
      </c>
      <c r="M64" s="34">
        <v>4</v>
      </c>
      <c r="N64" s="152" t="s">
        <v>687</v>
      </c>
    </row>
    <row r="65" spans="2:14" ht="12.75">
      <c r="B65" s="4"/>
      <c r="C65" s="32"/>
      <c r="D65" s="151" t="s">
        <v>668</v>
      </c>
      <c r="E65" s="32">
        <f>'WQ Emissions'!CE65</f>
        <v>0.00016033880371296065</v>
      </c>
      <c r="F65" s="142" t="s">
        <v>190</v>
      </c>
      <c r="G65" s="35"/>
      <c r="H65" s="35"/>
      <c r="I65" s="35">
        <f>'WQ Emissions'!CE65</f>
        <v>0.00016033880371296065</v>
      </c>
      <c r="J65" s="142" t="s">
        <v>190</v>
      </c>
      <c r="K65" s="33"/>
      <c r="L65" s="142" t="s">
        <v>142</v>
      </c>
      <c r="M65" s="34">
        <v>4</v>
      </c>
      <c r="N65" s="152" t="s">
        <v>687</v>
      </c>
    </row>
    <row r="66" spans="2:14" ht="12.75">
      <c r="B66" s="4"/>
      <c r="C66" s="32"/>
      <c r="D66" s="151" t="s">
        <v>669</v>
      </c>
      <c r="E66" s="32">
        <f>'WQ Emissions'!CN65</f>
        <v>2.237583931035093E-08</v>
      </c>
      <c r="F66" s="142" t="s">
        <v>190</v>
      </c>
      <c r="G66" s="35"/>
      <c r="H66" s="35"/>
      <c r="I66" s="35">
        <f>'WQ Emissions'!CN65</f>
        <v>2.237583931035093E-08</v>
      </c>
      <c r="J66" s="142" t="s">
        <v>190</v>
      </c>
      <c r="K66" s="33"/>
      <c r="L66" s="142" t="s">
        <v>142</v>
      </c>
      <c r="M66" s="34">
        <v>4</v>
      </c>
      <c r="N66" s="152" t="s">
        <v>687</v>
      </c>
    </row>
    <row r="67" spans="2:14" ht="12.75">
      <c r="B67" s="4"/>
      <c r="C67" s="32"/>
      <c r="D67" s="32"/>
      <c r="E67" s="32"/>
      <c r="F67" s="32"/>
      <c r="G67" s="35"/>
      <c r="H67" s="35"/>
      <c r="I67" s="35"/>
      <c r="J67" s="32"/>
      <c r="K67" s="33"/>
      <c r="L67" s="32"/>
      <c r="M67" s="34"/>
      <c r="N67" s="34"/>
    </row>
    <row r="68" spans="2:14" ht="12.75">
      <c r="B68" s="4"/>
      <c r="C68" s="25" t="s">
        <v>92</v>
      </c>
      <c r="D68" s="141" t="s">
        <v>94</v>
      </c>
      <c r="E68" s="27" t="s">
        <v>121</v>
      </c>
      <c r="F68" s="26"/>
      <c r="G68" s="36"/>
      <c r="H68" s="36"/>
      <c r="I68" s="36"/>
      <c r="J68" s="26"/>
      <c r="K68" s="27"/>
      <c r="L68" s="26" t="s">
        <v>145</v>
      </c>
      <c r="M68" s="24"/>
      <c r="N68" s="24"/>
    </row>
    <row r="69" spans="2:14" ht="12.75">
      <c r="B69" s="4"/>
      <c r="C69" s="5"/>
      <c r="D69" s="5"/>
      <c r="E69" s="5"/>
      <c r="F69" s="5"/>
      <c r="G69" s="5"/>
      <c r="H69" s="5"/>
      <c r="J69" s="5"/>
      <c r="K69" s="5"/>
      <c r="L69" s="5"/>
      <c r="M69" s="5"/>
      <c r="N69" s="5"/>
    </row>
    <row r="70" spans="2:14" ht="12.75">
      <c r="B70" s="4"/>
      <c r="C70" s="5"/>
      <c r="D70" s="5"/>
      <c r="E70" s="5"/>
      <c r="F70" s="5"/>
      <c r="G70" s="5"/>
      <c r="H70" s="5"/>
      <c r="J70" s="5"/>
      <c r="K70" s="5"/>
      <c r="L70" s="5"/>
      <c r="M70" s="5"/>
      <c r="N70" s="5"/>
    </row>
    <row r="71" spans="2:14" ht="12.75">
      <c r="B71" s="4"/>
      <c r="C71" s="5"/>
      <c r="D71" s="5"/>
      <c r="E71" s="5"/>
      <c r="F71" s="5"/>
      <c r="G71" s="5"/>
      <c r="H71" s="5"/>
      <c r="J71" s="5"/>
      <c r="K71" s="5"/>
      <c r="L71" s="5"/>
      <c r="M71" s="5"/>
      <c r="N71" s="5"/>
    </row>
    <row r="72" spans="2:14" ht="12.75">
      <c r="B72" s="4"/>
      <c r="C72" s="5"/>
      <c r="D72" s="5"/>
      <c r="E72" s="5"/>
      <c r="F72" s="5"/>
      <c r="G72" s="5"/>
      <c r="H72" s="5"/>
      <c r="J72" s="5"/>
      <c r="K72" s="5"/>
      <c r="L72" s="5"/>
      <c r="M72" s="5"/>
      <c r="N72" s="5"/>
    </row>
    <row r="73" spans="2:14" ht="12.75">
      <c r="B73" s="4"/>
      <c r="C73" s="5"/>
      <c r="D73" s="5"/>
      <c r="E73" s="5"/>
      <c r="F73" s="5"/>
      <c r="G73" s="5"/>
      <c r="H73" s="5"/>
      <c r="J73" s="5"/>
      <c r="K73" s="5"/>
      <c r="L73" s="5"/>
      <c r="M73" s="5"/>
      <c r="N73" s="5"/>
    </row>
    <row r="74" spans="2:14" ht="12.75">
      <c r="B74" s="4"/>
      <c r="C74" s="5"/>
      <c r="D74" s="5"/>
      <c r="E74" s="5"/>
      <c r="F74" s="5"/>
      <c r="G74" s="5"/>
      <c r="H74" s="5"/>
      <c r="J74" s="5"/>
      <c r="K74" s="5"/>
      <c r="L74" s="5"/>
      <c r="M74" s="5"/>
      <c r="N74" s="5"/>
    </row>
    <row r="75" spans="2:14" ht="12.75">
      <c r="B75" s="4"/>
      <c r="C75" s="5"/>
      <c r="D75" s="5"/>
      <c r="E75" s="5"/>
      <c r="F75" s="5"/>
      <c r="G75" s="5"/>
      <c r="H75" s="5"/>
      <c r="J75" s="5"/>
      <c r="K75" s="5"/>
      <c r="L75" s="5"/>
      <c r="M75" s="5"/>
      <c r="N75" s="5"/>
    </row>
    <row r="76" spans="2:14" ht="12.75">
      <c r="B76" s="4"/>
      <c r="C76" s="5"/>
      <c r="D76" s="5"/>
      <c r="E76" s="5"/>
      <c r="F76" s="5"/>
      <c r="G76" s="5"/>
      <c r="H76" s="5"/>
      <c r="J76" s="5"/>
      <c r="K76" s="5"/>
      <c r="L76" s="5"/>
      <c r="M76" s="5"/>
      <c r="N76" s="5"/>
    </row>
    <row r="77" spans="2:14" ht="12.75">
      <c r="B77" s="4"/>
      <c r="C77" s="5"/>
      <c r="D77" s="5"/>
      <c r="E77" s="5"/>
      <c r="F77" s="5"/>
      <c r="G77" s="5"/>
      <c r="H77" s="5"/>
      <c r="J77" s="5"/>
      <c r="K77" s="5"/>
      <c r="L77" s="5"/>
      <c r="M77" s="5"/>
      <c r="N77" s="5"/>
    </row>
    <row r="78" spans="2:14" ht="12.75">
      <c r="B78" s="4"/>
      <c r="C78" s="5"/>
      <c r="D78" s="5"/>
      <c r="E78" s="5"/>
      <c r="F78" s="5"/>
      <c r="G78" s="5"/>
      <c r="H78" s="5"/>
      <c r="J78" s="5"/>
      <c r="K78" s="5"/>
      <c r="L78" s="5"/>
      <c r="M78" s="5"/>
      <c r="N78" s="5"/>
    </row>
    <row r="79" spans="2:14" ht="12.75">
      <c r="B79" s="4"/>
      <c r="C79" s="5"/>
      <c r="D79" s="5"/>
      <c r="E79" s="5"/>
      <c r="F79" s="5"/>
      <c r="G79" s="5"/>
      <c r="H79" s="5"/>
      <c r="J79" s="5"/>
      <c r="K79" s="5"/>
      <c r="L79" s="5"/>
      <c r="M79" s="5"/>
      <c r="N79" s="5"/>
    </row>
    <row r="80" spans="2:14" ht="12.75">
      <c r="B80" s="4"/>
      <c r="C80" s="5"/>
      <c r="D80" s="5"/>
      <c r="E80" s="5"/>
      <c r="F80" s="5"/>
      <c r="G80" s="5"/>
      <c r="H80" s="5"/>
      <c r="J80" s="5"/>
      <c r="K80" s="5"/>
      <c r="L80" s="5"/>
      <c r="M80" s="5"/>
      <c r="N80" s="5"/>
    </row>
    <row r="81" spans="2:14" ht="12.75">
      <c r="B81" s="4"/>
      <c r="C81" s="5"/>
      <c r="D81" s="5"/>
      <c r="E81" s="5"/>
      <c r="F81" s="5"/>
      <c r="G81" s="5"/>
      <c r="H81" s="5"/>
      <c r="J81" s="5"/>
      <c r="K81" s="5"/>
      <c r="L81" s="5"/>
      <c r="M81" s="5"/>
      <c r="N81" s="5"/>
    </row>
    <row r="82" spans="2:14" ht="12.75">
      <c r="B82" s="4"/>
      <c r="C82" s="5"/>
      <c r="D82" s="5"/>
      <c r="E82" s="5"/>
      <c r="F82" s="5"/>
      <c r="G82" s="5"/>
      <c r="H82" s="5"/>
      <c r="J82" s="5"/>
      <c r="K82" s="5"/>
      <c r="L82" s="5"/>
      <c r="M82" s="5"/>
      <c r="N82" s="5"/>
    </row>
    <row r="83" spans="2:14" ht="12.75">
      <c r="B83" s="4"/>
      <c r="C83" s="5"/>
      <c r="D83" s="5"/>
      <c r="E83" s="5"/>
      <c r="F83" s="5"/>
      <c r="G83" s="5"/>
      <c r="H83" s="5"/>
      <c r="J83" s="5"/>
      <c r="K83" s="5"/>
      <c r="L83" s="5"/>
      <c r="M83" s="5"/>
      <c r="N83" s="5"/>
    </row>
    <row r="84" spans="2:14" ht="12.75">
      <c r="B84" s="4"/>
      <c r="C84" s="5"/>
      <c r="D84" s="5"/>
      <c r="E84" s="5"/>
      <c r="F84" s="5"/>
      <c r="G84" s="5"/>
      <c r="H84" s="5"/>
      <c r="J84" s="5"/>
      <c r="K84" s="5"/>
      <c r="L84" s="5"/>
      <c r="M84" s="5"/>
      <c r="N84" s="5"/>
    </row>
    <row r="85" spans="2:14" ht="12.75">
      <c r="B85" s="4"/>
      <c r="C85" s="5"/>
      <c r="D85" s="5"/>
      <c r="E85" s="5"/>
      <c r="F85" s="5"/>
      <c r="G85" s="5"/>
      <c r="H85" s="5"/>
      <c r="J85" s="5"/>
      <c r="K85" s="5"/>
      <c r="L85" s="5"/>
      <c r="M85" s="5"/>
      <c r="N85" s="5"/>
    </row>
    <row r="86" spans="2:14" ht="12.75">
      <c r="B86" s="4"/>
      <c r="C86" s="5"/>
      <c r="D86" s="5"/>
      <c r="E86" s="5"/>
      <c r="F86" s="5"/>
      <c r="G86" s="5"/>
      <c r="H86" s="5"/>
      <c r="J86" s="5"/>
      <c r="K86" s="5"/>
      <c r="L86" s="5"/>
      <c r="M86" s="5"/>
      <c r="N86" s="5"/>
    </row>
    <row r="87" spans="2:14" ht="12.75">
      <c r="B87" s="4"/>
      <c r="C87" s="5"/>
      <c r="D87" s="5"/>
      <c r="E87" s="5"/>
      <c r="F87" s="5"/>
      <c r="G87" s="5"/>
      <c r="H87" s="5"/>
      <c r="J87" s="5"/>
      <c r="K87" s="5"/>
      <c r="L87" s="5"/>
      <c r="M87" s="5"/>
      <c r="N87" s="5"/>
    </row>
    <row r="88" spans="2:14" ht="12.75">
      <c r="B88" s="4"/>
      <c r="C88" s="5"/>
      <c r="D88" s="5"/>
      <c r="E88" s="5"/>
      <c r="F88" s="5"/>
      <c r="G88" s="5"/>
      <c r="H88" s="5"/>
      <c r="J88" s="5"/>
      <c r="K88" s="5"/>
      <c r="L88" s="5"/>
      <c r="M88" s="5"/>
      <c r="N88" s="5"/>
    </row>
    <row r="89" spans="2:14" ht="12.75">
      <c r="B89" s="4"/>
      <c r="C89" s="5"/>
      <c r="D89" s="5"/>
      <c r="E89" s="5"/>
      <c r="F89" s="5"/>
      <c r="G89" s="5"/>
      <c r="H89" s="5"/>
      <c r="J89" s="5"/>
      <c r="K89" s="5"/>
      <c r="L89" s="5"/>
      <c r="M89" s="5"/>
      <c r="N89" s="5"/>
    </row>
    <row r="90" spans="2:14" ht="12.75">
      <c r="B90" s="4"/>
      <c r="C90" s="5"/>
      <c r="D90" s="5"/>
      <c r="E90" s="5"/>
      <c r="F90" s="5"/>
      <c r="G90" s="5"/>
      <c r="H90" s="5"/>
      <c r="J90" s="5"/>
      <c r="K90" s="5"/>
      <c r="L90" s="5"/>
      <c r="M90" s="5"/>
      <c r="N90" s="5"/>
    </row>
    <row r="91" spans="2:14" ht="12.75">
      <c r="B91" s="4"/>
      <c r="C91" s="5"/>
      <c r="D91" s="5"/>
      <c r="E91" s="5"/>
      <c r="F91" s="5"/>
      <c r="G91" s="5"/>
      <c r="H91" s="5"/>
      <c r="J91" s="5"/>
      <c r="K91" s="5"/>
      <c r="L91" s="5"/>
      <c r="M91" s="5"/>
      <c r="N91" s="5"/>
    </row>
    <row r="92" spans="2:14" ht="12.75">
      <c r="B92" s="4"/>
      <c r="C92" s="5"/>
      <c r="D92" s="5"/>
      <c r="E92" s="5"/>
      <c r="F92" s="5"/>
      <c r="G92" s="5"/>
      <c r="H92" s="5"/>
      <c r="J92" s="5"/>
      <c r="K92" s="5"/>
      <c r="L92" s="5"/>
      <c r="M92" s="5"/>
      <c r="N92" s="5"/>
    </row>
    <row r="93" spans="2:14" ht="12.75">
      <c r="B93" s="4"/>
      <c r="C93" s="5"/>
      <c r="D93" s="5"/>
      <c r="E93" s="5"/>
      <c r="F93" s="5"/>
      <c r="G93" s="5"/>
      <c r="H93" s="5"/>
      <c r="J93" s="5"/>
      <c r="K93" s="5"/>
      <c r="L93" s="5"/>
      <c r="M93" s="5"/>
      <c r="N93" s="5"/>
    </row>
    <row r="94" spans="2:14" ht="12.75">
      <c r="B94" s="4"/>
      <c r="C94" s="5"/>
      <c r="D94" s="5"/>
      <c r="E94" s="5"/>
      <c r="F94" s="5"/>
      <c r="G94" s="5"/>
      <c r="H94" s="5"/>
      <c r="J94" s="5"/>
      <c r="K94" s="5"/>
      <c r="L94" s="5"/>
      <c r="M94" s="5"/>
      <c r="N94" s="5"/>
    </row>
    <row r="95" spans="2:14" ht="12.75">
      <c r="B95" s="4"/>
      <c r="C95" s="5"/>
      <c r="D95" s="5"/>
      <c r="E95" s="5"/>
      <c r="F95" s="5"/>
      <c r="G95" s="5"/>
      <c r="H95" s="5"/>
      <c r="J95" s="5"/>
      <c r="K95" s="5"/>
      <c r="L95" s="5"/>
      <c r="M95" s="5"/>
      <c r="N95" s="5"/>
    </row>
    <row r="96" spans="2:14" ht="12.75">
      <c r="B96" s="4"/>
      <c r="C96" s="5"/>
      <c r="D96" s="5"/>
      <c r="E96" s="5"/>
      <c r="F96" s="5"/>
      <c r="G96" s="5"/>
      <c r="H96" s="5"/>
      <c r="J96" s="5"/>
      <c r="K96" s="5"/>
      <c r="L96" s="5"/>
      <c r="M96" s="5"/>
      <c r="N96" s="5"/>
    </row>
    <row r="97" spans="2:14" ht="12.75">
      <c r="B97" s="4"/>
      <c r="C97" s="5"/>
      <c r="D97" s="5"/>
      <c r="E97" s="5"/>
      <c r="F97" s="5"/>
      <c r="G97" s="5"/>
      <c r="H97" s="5"/>
      <c r="J97" s="5"/>
      <c r="K97" s="5"/>
      <c r="L97" s="5"/>
      <c r="M97" s="5"/>
      <c r="N97" s="5"/>
    </row>
    <row r="98" spans="2:14" ht="12.75">
      <c r="B98" s="4"/>
      <c r="C98" s="5"/>
      <c r="D98" s="5"/>
      <c r="E98" s="5"/>
      <c r="F98" s="5"/>
      <c r="G98" s="5"/>
      <c r="H98" s="5"/>
      <c r="J98" s="5"/>
      <c r="K98" s="5"/>
      <c r="L98" s="5"/>
      <c r="M98" s="5"/>
      <c r="N98" s="5"/>
    </row>
    <row r="99" spans="2:14" ht="12.75">
      <c r="B99" s="4"/>
      <c r="C99" s="5"/>
      <c r="D99" s="5"/>
      <c r="E99" s="5"/>
      <c r="F99" s="5"/>
      <c r="G99" s="5"/>
      <c r="H99" s="5"/>
      <c r="J99" s="5"/>
      <c r="K99" s="5"/>
      <c r="L99" s="5"/>
      <c r="M99" s="5"/>
      <c r="N99" s="5"/>
    </row>
    <row r="100" spans="2:14" ht="12.75">
      <c r="B100" s="4"/>
      <c r="C100" s="5"/>
      <c r="D100" s="5"/>
      <c r="E100" s="5"/>
      <c r="F100" s="5"/>
      <c r="G100" s="5"/>
      <c r="H100" s="5"/>
      <c r="J100" s="5"/>
      <c r="K100" s="5"/>
      <c r="L100" s="5"/>
      <c r="M100" s="5"/>
      <c r="N100" s="5"/>
    </row>
    <row r="101" spans="2:14" ht="12.75">
      <c r="B101" s="4"/>
      <c r="C101" s="5"/>
      <c r="D101" s="5"/>
      <c r="E101" s="5"/>
      <c r="F101" s="5"/>
      <c r="G101" s="5"/>
      <c r="H101" s="5"/>
      <c r="J101" s="5"/>
      <c r="K101" s="5"/>
      <c r="L101" s="5"/>
      <c r="M101" s="5"/>
      <c r="N101" s="5"/>
    </row>
    <row r="102" spans="2:14" ht="12.75">
      <c r="B102" s="4"/>
      <c r="C102" s="5"/>
      <c r="D102" s="5"/>
      <c r="E102" s="5"/>
      <c r="F102" s="5"/>
      <c r="G102" s="5"/>
      <c r="H102" s="5"/>
      <c r="J102" s="5"/>
      <c r="K102" s="5"/>
      <c r="L102" s="5"/>
      <c r="M102" s="5"/>
      <c r="N102" s="5"/>
    </row>
    <row r="103" spans="2:14" ht="12.75">
      <c r="B103" s="4"/>
      <c r="C103" s="5"/>
      <c r="D103" s="5"/>
      <c r="E103" s="5"/>
      <c r="F103" s="5"/>
      <c r="G103" s="5"/>
      <c r="H103" s="5"/>
      <c r="J103" s="5"/>
      <c r="K103" s="5"/>
      <c r="L103" s="5"/>
      <c r="M103" s="5"/>
      <c r="N103" s="5"/>
    </row>
    <row r="104" spans="2:14" ht="12.75">
      <c r="B104" s="4"/>
      <c r="C104" s="5"/>
      <c r="D104" s="5"/>
      <c r="E104" s="5"/>
      <c r="F104" s="5"/>
      <c r="G104" s="5"/>
      <c r="H104" s="5"/>
      <c r="J104" s="5"/>
      <c r="K104" s="5"/>
      <c r="L104" s="5"/>
      <c r="M104" s="5"/>
      <c r="N104" s="5"/>
    </row>
    <row r="105" spans="2:14" ht="12.75">
      <c r="B105" s="4"/>
      <c r="C105" s="5"/>
      <c r="D105" s="5"/>
      <c r="E105" s="5"/>
      <c r="F105" s="5"/>
      <c r="G105" s="5"/>
      <c r="H105" s="5"/>
      <c r="J105" s="5"/>
      <c r="K105" s="5"/>
      <c r="L105" s="5"/>
      <c r="M105" s="5"/>
      <c r="N105" s="5"/>
    </row>
    <row r="106" spans="2:14" ht="12.75">
      <c r="B106" s="4"/>
      <c r="C106" s="5"/>
      <c r="D106" s="5"/>
      <c r="E106" s="5"/>
      <c r="F106" s="5"/>
      <c r="G106" s="5"/>
      <c r="H106" s="5"/>
      <c r="J106" s="5"/>
      <c r="K106" s="5"/>
      <c r="L106" s="5"/>
      <c r="M106" s="5"/>
      <c r="N106" s="5"/>
    </row>
    <row r="107" spans="2:14" ht="12.75">
      <c r="B107" s="4"/>
      <c r="C107" s="5"/>
      <c r="D107" s="5"/>
      <c r="E107" s="5"/>
      <c r="F107" s="5"/>
      <c r="G107" s="5"/>
      <c r="H107" s="5"/>
      <c r="J107" s="5"/>
      <c r="K107" s="5"/>
      <c r="L107" s="5"/>
      <c r="M107" s="5"/>
      <c r="N107" s="5"/>
    </row>
    <row r="108" spans="2:14" ht="12.75">
      <c r="B108" s="4"/>
      <c r="C108" s="5"/>
      <c r="D108" s="5"/>
      <c r="E108" s="5"/>
      <c r="F108" s="5"/>
      <c r="G108" s="5"/>
      <c r="H108" s="5"/>
      <c r="J108" s="5"/>
      <c r="K108" s="5"/>
      <c r="L108" s="5"/>
      <c r="M108" s="5"/>
      <c r="N108" s="5"/>
    </row>
    <row r="109" spans="2:14" ht="12.75">
      <c r="B109" s="4"/>
      <c r="C109" s="5"/>
      <c r="D109" s="5"/>
      <c r="E109" s="5"/>
      <c r="F109" s="5"/>
      <c r="G109" s="5"/>
      <c r="H109" s="5"/>
      <c r="J109" s="5"/>
      <c r="K109" s="5"/>
      <c r="L109" s="5"/>
      <c r="M109" s="5"/>
      <c r="N109" s="5"/>
    </row>
    <row r="110" spans="2:14" ht="12.75">
      <c r="B110" s="4"/>
      <c r="C110" s="5"/>
      <c r="D110" s="5"/>
      <c r="E110" s="5"/>
      <c r="F110" s="5"/>
      <c r="G110" s="5"/>
      <c r="H110" s="5"/>
      <c r="J110" s="5"/>
      <c r="K110" s="5"/>
      <c r="L110" s="5"/>
      <c r="M110" s="5"/>
      <c r="N110" s="5"/>
    </row>
    <row r="111" spans="2:14" ht="12.75">
      <c r="B111" s="4"/>
      <c r="C111" s="5"/>
      <c r="D111" s="5"/>
      <c r="E111" s="5"/>
      <c r="F111" s="5"/>
      <c r="G111" s="5"/>
      <c r="H111" s="5"/>
      <c r="J111" s="5"/>
      <c r="K111" s="5"/>
      <c r="L111" s="5"/>
      <c r="M111" s="5"/>
      <c r="N111" s="5"/>
    </row>
    <row r="112" spans="2:14" ht="12.75">
      <c r="B112" s="4"/>
      <c r="C112" s="5"/>
      <c r="D112" s="5"/>
      <c r="E112" s="5"/>
      <c r="F112" s="5"/>
      <c r="G112" s="5"/>
      <c r="H112" s="5"/>
      <c r="J112" s="5"/>
      <c r="K112" s="5"/>
      <c r="L112" s="5"/>
      <c r="M112" s="5"/>
      <c r="N112" s="5"/>
    </row>
    <row r="113" spans="2:14" ht="12.75">
      <c r="B113" s="4"/>
      <c r="C113" s="5"/>
      <c r="D113" s="5"/>
      <c r="E113" s="5"/>
      <c r="F113" s="5"/>
      <c r="G113" s="5"/>
      <c r="H113" s="5"/>
      <c r="J113" s="5"/>
      <c r="K113" s="5"/>
      <c r="L113" s="5"/>
      <c r="M113" s="5"/>
      <c r="N113" s="5"/>
    </row>
    <row r="114" spans="2:14" ht="12.75">
      <c r="B114" s="4"/>
      <c r="C114" s="5"/>
      <c r="D114" s="5"/>
      <c r="E114" s="5"/>
      <c r="F114" s="5"/>
      <c r="G114" s="5"/>
      <c r="H114" s="5"/>
      <c r="J114" s="5"/>
      <c r="K114" s="5"/>
      <c r="L114" s="5"/>
      <c r="M114" s="5"/>
      <c r="N114" s="5"/>
    </row>
    <row r="115" spans="2:14" ht="12.75">
      <c r="B115" s="4"/>
      <c r="C115" s="5"/>
      <c r="D115" s="5"/>
      <c r="E115" s="5"/>
      <c r="F115" s="5"/>
      <c r="G115" s="5"/>
      <c r="H115" s="5"/>
      <c r="J115" s="5"/>
      <c r="K115" s="5"/>
      <c r="L115" s="5"/>
      <c r="M115" s="5"/>
      <c r="N115" s="5"/>
    </row>
    <row r="116" spans="2:14" ht="12.75">
      <c r="B116" s="4"/>
      <c r="C116" s="5"/>
      <c r="D116" s="5"/>
      <c r="E116" s="5"/>
      <c r="F116" s="5"/>
      <c r="G116" s="5"/>
      <c r="H116" s="5"/>
      <c r="J116" s="5"/>
      <c r="K116" s="5"/>
      <c r="L116" s="5"/>
      <c r="M116" s="5"/>
      <c r="N116" s="5"/>
    </row>
    <row r="117" spans="2:14" ht="12.75">
      <c r="B117" s="4"/>
      <c r="C117" s="5"/>
      <c r="D117" s="5"/>
      <c r="E117" s="5"/>
      <c r="F117" s="5"/>
      <c r="G117" s="5"/>
      <c r="H117" s="5"/>
      <c r="J117" s="5"/>
      <c r="K117" s="5"/>
      <c r="L117" s="5"/>
      <c r="M117" s="5"/>
      <c r="N117" s="5"/>
    </row>
    <row r="118" spans="2:14" ht="12.75">
      <c r="B118" s="4"/>
      <c r="C118" s="5"/>
      <c r="D118" s="5"/>
      <c r="E118" s="5"/>
      <c r="F118" s="5"/>
      <c r="G118" s="5"/>
      <c r="H118" s="5"/>
      <c r="J118" s="5"/>
      <c r="K118" s="5"/>
      <c r="L118" s="5"/>
      <c r="M118" s="5"/>
      <c r="N118" s="5"/>
    </row>
    <row r="119" spans="2:14" ht="12.75">
      <c r="B119" s="4"/>
      <c r="C119" s="5"/>
      <c r="D119" s="5"/>
      <c r="E119" s="5"/>
      <c r="F119" s="5"/>
      <c r="G119" s="5"/>
      <c r="H119" s="5"/>
      <c r="J119" s="5"/>
      <c r="K119" s="5"/>
      <c r="L119" s="5"/>
      <c r="M119" s="5"/>
      <c r="N119" s="5"/>
    </row>
    <row r="120" spans="2:14" ht="12.75">
      <c r="B120" s="4"/>
      <c r="C120" s="5"/>
      <c r="D120" s="5"/>
      <c r="E120" s="5"/>
      <c r="F120" s="5"/>
      <c r="G120" s="5"/>
      <c r="H120" s="5"/>
      <c r="J120" s="5"/>
      <c r="K120" s="5"/>
      <c r="L120" s="5"/>
      <c r="M120" s="5"/>
      <c r="N120" s="5"/>
    </row>
    <row r="121" spans="2:14" ht="12.75">
      <c r="B121" s="4"/>
      <c r="C121" s="5"/>
      <c r="D121" s="5"/>
      <c r="E121" s="5"/>
      <c r="F121" s="5"/>
      <c r="G121" s="5"/>
      <c r="H121" s="5"/>
      <c r="J121" s="5"/>
      <c r="K121" s="5"/>
      <c r="L121" s="5"/>
      <c r="M121" s="5"/>
      <c r="N121" s="5"/>
    </row>
    <row r="122" spans="2:14" ht="12.75">
      <c r="B122" s="4"/>
      <c r="C122" s="5"/>
      <c r="D122" s="5"/>
      <c r="E122" s="5"/>
      <c r="F122" s="5"/>
      <c r="G122" s="5"/>
      <c r="H122" s="5"/>
      <c r="J122" s="5"/>
      <c r="K122" s="5"/>
      <c r="L122" s="5"/>
      <c r="M122" s="5"/>
      <c r="N122" s="5"/>
    </row>
    <row r="123" spans="2:14" ht="12.75">
      <c r="B123" s="4"/>
      <c r="C123" s="5"/>
      <c r="D123" s="5"/>
      <c r="E123" s="5"/>
      <c r="F123" s="5"/>
      <c r="G123" s="5"/>
      <c r="H123" s="5"/>
      <c r="J123" s="5"/>
      <c r="K123" s="5"/>
      <c r="L123" s="5"/>
      <c r="M123" s="5"/>
      <c r="N123" s="5"/>
    </row>
    <row r="124" spans="2:14" ht="12.75">
      <c r="B124" s="7" t="s">
        <v>127</v>
      </c>
      <c r="C124" s="5"/>
      <c r="D124" s="5"/>
      <c r="E124" s="5"/>
      <c r="F124" s="5"/>
      <c r="G124" s="5"/>
      <c r="H124" s="5"/>
      <c r="J124" s="5"/>
      <c r="K124" s="5"/>
      <c r="L124" s="5"/>
      <c r="M124" s="5"/>
      <c r="N124" s="5"/>
    </row>
    <row r="125" spans="1:23" s="1" customFormat="1" ht="12.75">
      <c r="A125" s="4"/>
      <c r="B125" s="4"/>
      <c r="C125" s="4" t="s">
        <v>128</v>
      </c>
      <c r="D125" s="4" t="s">
        <v>129</v>
      </c>
      <c r="E125" s="4" t="s">
        <v>130</v>
      </c>
      <c r="F125" s="4"/>
      <c r="G125" s="4"/>
      <c r="H125" s="4" t="s">
        <v>124</v>
      </c>
      <c r="I125" s="4"/>
      <c r="J125" s="4" t="s">
        <v>123</v>
      </c>
      <c r="K125" s="4"/>
      <c r="L125" s="4"/>
      <c r="M125" s="4"/>
      <c r="N125" s="4"/>
      <c r="O125" s="4"/>
      <c r="P125" s="4"/>
      <c r="Q125" s="4"/>
      <c r="R125" s="4"/>
      <c r="S125" s="4"/>
      <c r="T125" s="4"/>
      <c r="U125" s="4"/>
      <c r="V125" s="4"/>
      <c r="W125" s="4"/>
    </row>
    <row r="126" spans="2:14" ht="12.75">
      <c r="B126" s="4"/>
      <c r="C126" s="29" t="s">
        <v>145</v>
      </c>
      <c r="D126" s="29" t="s">
        <v>145</v>
      </c>
      <c r="E126" s="29" t="s">
        <v>145</v>
      </c>
      <c r="F126" s="5"/>
      <c r="G126" s="5"/>
      <c r="H126" s="29" t="s">
        <v>145</v>
      </c>
      <c r="J126" s="5"/>
      <c r="K126" s="5"/>
      <c r="L126" s="5"/>
      <c r="M126" s="5"/>
      <c r="N126" s="5"/>
    </row>
    <row r="127" spans="2:14" ht="12.75">
      <c r="B127" s="4"/>
      <c r="C127" s="44" t="s">
        <v>177</v>
      </c>
      <c r="D127" s="5" t="s">
        <v>179</v>
      </c>
      <c r="E127" s="5" t="s">
        <v>136</v>
      </c>
      <c r="F127" s="5"/>
      <c r="G127" s="5"/>
      <c r="H127" s="5" t="s">
        <v>141</v>
      </c>
      <c r="J127" s="5" t="s">
        <v>172</v>
      </c>
      <c r="K127" s="5"/>
      <c r="L127" s="5"/>
      <c r="M127" s="5"/>
      <c r="N127" s="5"/>
    </row>
    <row r="128" spans="2:14" ht="12.75">
      <c r="B128" s="4"/>
      <c r="C128" s="5" t="s">
        <v>174</v>
      </c>
      <c r="D128" s="5" t="s">
        <v>134</v>
      </c>
      <c r="E128" s="5" t="s">
        <v>137</v>
      </c>
      <c r="F128" s="5"/>
      <c r="G128" s="5"/>
      <c r="H128" s="5" t="s">
        <v>142</v>
      </c>
      <c r="J128" s="5" t="s">
        <v>173</v>
      </c>
      <c r="K128" s="5"/>
      <c r="L128" s="5"/>
      <c r="M128" s="5"/>
      <c r="N128" s="5"/>
    </row>
    <row r="129" spans="2:14" ht="12.75">
      <c r="B129" s="4"/>
      <c r="C129" s="5" t="s">
        <v>175</v>
      </c>
      <c r="D129" s="5" t="s">
        <v>135</v>
      </c>
      <c r="E129" s="5" t="s">
        <v>138</v>
      </c>
      <c r="F129" s="5"/>
      <c r="G129" s="5"/>
      <c r="H129" s="5" t="s">
        <v>143</v>
      </c>
      <c r="J129" s="5"/>
      <c r="K129" s="5"/>
      <c r="L129" s="5"/>
      <c r="M129" s="5"/>
      <c r="N129" s="5"/>
    </row>
    <row r="130" spans="2:14" ht="12.75">
      <c r="B130" s="4"/>
      <c r="C130" s="5" t="s">
        <v>178</v>
      </c>
      <c r="D130" s="5" t="s">
        <v>180</v>
      </c>
      <c r="E130" s="5" t="s">
        <v>139</v>
      </c>
      <c r="F130" s="5"/>
      <c r="G130" s="5"/>
      <c r="H130" s="5" t="s">
        <v>144</v>
      </c>
      <c r="J130" s="5"/>
      <c r="K130" s="5"/>
      <c r="L130" s="5"/>
      <c r="M130" s="5"/>
      <c r="N130" s="5"/>
    </row>
    <row r="131" spans="2:14" ht="12.75">
      <c r="B131" s="4"/>
      <c r="C131" s="5" t="s">
        <v>131</v>
      </c>
      <c r="D131" s="5"/>
      <c r="E131" s="5" t="s">
        <v>140</v>
      </c>
      <c r="F131" s="5"/>
      <c r="G131" s="5"/>
      <c r="H131" s="5" t="s">
        <v>140</v>
      </c>
      <c r="J131" s="5"/>
      <c r="K131" s="5"/>
      <c r="L131" s="5"/>
      <c r="M131" s="5"/>
      <c r="N131" s="5"/>
    </row>
    <row r="132" spans="2:14" ht="12.75">
      <c r="B132" s="4"/>
      <c r="C132" s="5" t="s">
        <v>132</v>
      </c>
      <c r="D132" s="5"/>
      <c r="E132" s="5"/>
      <c r="F132" s="5"/>
      <c r="G132" s="5"/>
      <c r="H132" s="5"/>
      <c r="J132" s="5"/>
      <c r="K132" s="5"/>
      <c r="L132" s="5"/>
      <c r="M132" s="5"/>
      <c r="N132" s="5"/>
    </row>
    <row r="133" spans="2:14" ht="12.75">
      <c r="B133" s="4"/>
      <c r="C133" s="5" t="s">
        <v>176</v>
      </c>
      <c r="D133" s="5"/>
      <c r="E133" s="5"/>
      <c r="F133" s="5"/>
      <c r="G133" s="5"/>
      <c r="H133" s="5"/>
      <c r="J133" s="5"/>
      <c r="K133" s="5"/>
      <c r="L133" s="5"/>
      <c r="M133" s="5"/>
      <c r="N133" s="5"/>
    </row>
    <row r="134" spans="2:14" ht="12.75">
      <c r="B134" s="4"/>
      <c r="C134" s="5" t="s">
        <v>133</v>
      </c>
      <c r="D134" s="5"/>
      <c r="E134" s="5"/>
      <c r="F134" s="5"/>
      <c r="G134" s="5"/>
      <c r="H134" s="5"/>
      <c r="J134" s="5"/>
      <c r="K134" s="5"/>
      <c r="L134" s="5"/>
      <c r="M134" s="5"/>
      <c r="N134" s="5"/>
    </row>
    <row r="135" spans="2:14" ht="12.75">
      <c r="B135" s="4"/>
      <c r="C135" s="197" t="s">
        <v>792</v>
      </c>
      <c r="D135" s="5"/>
      <c r="E135" s="5"/>
      <c r="F135" s="5"/>
      <c r="G135" s="5"/>
      <c r="H135" s="5"/>
      <c r="J135" s="5"/>
      <c r="K135" s="5"/>
      <c r="L135" s="5"/>
      <c r="M135" s="5"/>
      <c r="N135" s="5"/>
    </row>
    <row r="136" ht="12.75">
      <c r="B136" s="4"/>
    </row>
    <row r="137" ht="12.75">
      <c r="B137" s="4"/>
    </row>
    <row r="138" ht="12.75">
      <c r="B138" s="4"/>
    </row>
    <row r="139" ht="12.75">
      <c r="B139" s="4"/>
    </row>
    <row r="140" ht="12.75">
      <c r="B140" s="4"/>
    </row>
    <row r="141" ht="12.75">
      <c r="B141" s="4"/>
    </row>
    <row r="142" ht="12.75">
      <c r="B142" s="4"/>
    </row>
    <row r="143" ht="12.75">
      <c r="B143" s="4"/>
    </row>
    <row r="144" ht="12.75">
      <c r="B144" s="4"/>
    </row>
    <row r="145" ht="12.75">
      <c r="B145" s="4"/>
    </row>
    <row r="146" ht="12.75">
      <c r="B146" s="4"/>
    </row>
    <row r="147" ht="12.75">
      <c r="B147" s="4"/>
    </row>
    <row r="148" ht="12.75">
      <c r="B148" s="4"/>
    </row>
    <row r="149" ht="12.75">
      <c r="B149" s="4"/>
    </row>
    <row r="150" ht="12.75">
      <c r="B150" s="4"/>
    </row>
    <row r="151" ht="12.75">
      <c r="B151" s="4"/>
    </row>
    <row r="152" ht="12.75">
      <c r="B152" s="4"/>
    </row>
    <row r="153" ht="12.75">
      <c r="B153" s="4"/>
    </row>
    <row r="154" ht="12.75">
      <c r="B154" s="4"/>
    </row>
    <row r="155" ht="12.75">
      <c r="B155" s="4"/>
    </row>
    <row r="156" ht="12.75">
      <c r="B156" s="4"/>
    </row>
    <row r="157" ht="12.75">
      <c r="B157" s="4"/>
    </row>
    <row r="158" ht="12.75">
      <c r="B158" s="4"/>
    </row>
    <row r="159" ht="12.75">
      <c r="B159" s="4"/>
    </row>
    <row r="160" ht="12.75">
      <c r="B160" s="4"/>
    </row>
    <row r="161" ht="12.75">
      <c r="B161" s="4"/>
    </row>
    <row r="162" ht="12.75">
      <c r="B162" s="4"/>
    </row>
    <row r="163" ht="12.75">
      <c r="B163" s="4"/>
    </row>
    <row r="164" ht="12.75">
      <c r="B164" s="4"/>
    </row>
    <row r="165" ht="12.75">
      <c r="B165" s="4"/>
    </row>
    <row r="166" ht="12.75">
      <c r="B166" s="4"/>
    </row>
    <row r="167" ht="12.75">
      <c r="B167" s="4"/>
    </row>
    <row r="168" ht="12.75">
      <c r="B168" s="4"/>
    </row>
    <row r="169" ht="12.75">
      <c r="B169" s="4"/>
    </row>
    <row r="170" ht="12.75">
      <c r="B170" s="4"/>
    </row>
    <row r="171" ht="12.75">
      <c r="B171" s="4"/>
    </row>
    <row r="172" ht="12.75">
      <c r="B172" s="4"/>
    </row>
    <row r="173" ht="12.75">
      <c r="B173" s="4"/>
    </row>
    <row r="174" ht="12.75">
      <c r="B174" s="4"/>
    </row>
    <row r="175" ht="12.75">
      <c r="B175" s="4"/>
    </row>
    <row r="176" ht="12.75">
      <c r="B176" s="4"/>
    </row>
    <row r="177" ht="12.75">
      <c r="B177" s="4"/>
    </row>
    <row r="178" ht="12.75">
      <c r="B178" s="4"/>
    </row>
    <row r="179" ht="12.75">
      <c r="B179" s="4"/>
    </row>
    <row r="180" ht="12.75">
      <c r="B180" s="4"/>
    </row>
    <row r="181" ht="12.75">
      <c r="B181" s="4"/>
    </row>
    <row r="182" ht="12.75">
      <c r="B182" s="4"/>
    </row>
    <row r="183" ht="12.75">
      <c r="B183" s="4"/>
    </row>
    <row r="184" ht="12.75">
      <c r="B184" s="4"/>
    </row>
    <row r="185" ht="12.75">
      <c r="B185" s="4"/>
    </row>
    <row r="186" ht="12.75">
      <c r="B186" s="4"/>
    </row>
    <row r="187" ht="12.75">
      <c r="B187" s="4"/>
    </row>
    <row r="188" ht="12.75">
      <c r="B188" s="4"/>
    </row>
    <row r="189" ht="12.75">
      <c r="B189" s="4"/>
    </row>
    <row r="190" ht="12.75">
      <c r="B190" s="4"/>
    </row>
    <row r="191" ht="12.75">
      <c r="B191" s="4"/>
    </row>
    <row r="192" ht="12.75">
      <c r="B192" s="4"/>
    </row>
    <row r="193" ht="12.75">
      <c r="B193" s="4"/>
    </row>
    <row r="194" ht="12.75">
      <c r="B194" s="4"/>
    </row>
    <row r="195" ht="12.75">
      <c r="B195" s="4"/>
    </row>
    <row r="196" ht="12.75">
      <c r="B196" s="4"/>
    </row>
    <row r="197" ht="12.75">
      <c r="B197" s="4"/>
    </row>
    <row r="198" ht="12.75">
      <c r="B198" s="4"/>
    </row>
    <row r="199" ht="12.75">
      <c r="B199" s="4"/>
    </row>
    <row r="200" ht="12.75">
      <c r="B200" s="4"/>
    </row>
    <row r="201" ht="12.75">
      <c r="B201" s="4"/>
    </row>
    <row r="202" ht="12.75">
      <c r="B202" s="4"/>
    </row>
    <row r="203" ht="12.75">
      <c r="B203" s="4"/>
    </row>
    <row r="204" ht="12.75">
      <c r="B204" s="4"/>
    </row>
    <row r="205" ht="12.75">
      <c r="B205" s="4"/>
    </row>
    <row r="206" ht="12.75">
      <c r="B206" s="4"/>
    </row>
    <row r="207" ht="12.75">
      <c r="B207" s="4"/>
    </row>
    <row r="208" ht="12.75">
      <c r="B208" s="4"/>
    </row>
    <row r="209" ht="12.75">
      <c r="B209" s="4"/>
    </row>
    <row r="210" ht="12.75">
      <c r="B210" s="4"/>
    </row>
    <row r="211" ht="12.75">
      <c r="B211" s="4"/>
    </row>
    <row r="212" ht="12.75">
      <c r="B212" s="4"/>
    </row>
    <row r="213" ht="12.75">
      <c r="B213" s="4"/>
    </row>
    <row r="214" ht="12.75">
      <c r="B214" s="4"/>
    </row>
    <row r="215" ht="12.75">
      <c r="B215" s="4"/>
    </row>
    <row r="216" ht="12.75">
      <c r="B216" s="4"/>
    </row>
    <row r="217" ht="12.75">
      <c r="B217" s="4"/>
    </row>
    <row r="218" ht="12.75">
      <c r="B218" s="4"/>
    </row>
    <row r="219" ht="12.75">
      <c r="B219" s="4"/>
    </row>
    <row r="220" ht="12.75">
      <c r="B220" s="4"/>
    </row>
    <row r="221" ht="12.75">
      <c r="B221" s="4"/>
    </row>
    <row r="222" ht="12.75">
      <c r="B222" s="4"/>
    </row>
    <row r="223" ht="12.75">
      <c r="B223" s="4"/>
    </row>
    <row r="224" ht="12.75">
      <c r="B224" s="4"/>
    </row>
    <row r="225" ht="12.75">
      <c r="B225" s="4"/>
    </row>
    <row r="226" ht="12.75">
      <c r="B226" s="4"/>
    </row>
    <row r="227" ht="12.75">
      <c r="B227" s="4"/>
    </row>
    <row r="228" ht="12.75">
      <c r="B228" s="4"/>
    </row>
    <row r="229" ht="12.75">
      <c r="B229" s="4"/>
    </row>
    <row r="230" ht="12.75">
      <c r="B230" s="4"/>
    </row>
    <row r="231" ht="12.75">
      <c r="B231" s="4"/>
    </row>
    <row r="232" ht="12.75">
      <c r="B232" s="4"/>
    </row>
    <row r="233" ht="12.75">
      <c r="B233" s="4"/>
    </row>
    <row r="234" ht="12.75">
      <c r="B234" s="4"/>
    </row>
    <row r="235" ht="12.75">
      <c r="B235" s="4"/>
    </row>
    <row r="236" ht="12.75">
      <c r="B236" s="4"/>
    </row>
    <row r="237" ht="12.75">
      <c r="B237" s="4"/>
    </row>
    <row r="238" ht="12.75">
      <c r="B238" s="4"/>
    </row>
    <row r="239" ht="12.75">
      <c r="B239" s="4"/>
    </row>
    <row r="240" ht="12.75">
      <c r="B240" s="4"/>
    </row>
    <row r="241" ht="12.75">
      <c r="B241" s="4"/>
    </row>
    <row r="242" ht="12.75">
      <c r="B242" s="4"/>
    </row>
    <row r="243" ht="12.75">
      <c r="B243" s="4"/>
    </row>
    <row r="244" ht="12.75">
      <c r="B244" s="4"/>
    </row>
    <row r="245" ht="12.75">
      <c r="B245" s="4"/>
    </row>
    <row r="246" ht="12.75">
      <c r="B246" s="4"/>
    </row>
    <row r="247" ht="12.75">
      <c r="B247" s="4"/>
    </row>
    <row r="248" ht="12.75">
      <c r="B248" s="4"/>
    </row>
    <row r="249" ht="12.75">
      <c r="B249" s="4"/>
    </row>
    <row r="250" ht="12.75">
      <c r="B250" s="4"/>
    </row>
    <row r="251" ht="12.75">
      <c r="B251" s="4"/>
    </row>
    <row r="252" ht="12.75">
      <c r="B252" s="4"/>
    </row>
    <row r="253" ht="12.75">
      <c r="B253" s="4"/>
    </row>
    <row r="254" ht="12.75">
      <c r="B254" s="4"/>
    </row>
    <row r="255" ht="12.75">
      <c r="B255" s="4"/>
    </row>
    <row r="256" ht="12.75">
      <c r="B256" s="4"/>
    </row>
    <row r="257" ht="12.75">
      <c r="B257" s="4"/>
    </row>
    <row r="258" ht="12.75">
      <c r="B258" s="4"/>
    </row>
    <row r="259" ht="12.75">
      <c r="B259" s="4"/>
    </row>
    <row r="260" ht="12.75">
      <c r="B260" s="4"/>
    </row>
    <row r="261" ht="12.75">
      <c r="B261" s="4"/>
    </row>
    <row r="262" ht="12.75">
      <c r="B262" s="4"/>
    </row>
    <row r="263" ht="12.75">
      <c r="B263" s="4"/>
    </row>
    <row r="264" ht="12.75">
      <c r="B264" s="4"/>
    </row>
    <row r="265" ht="12.75">
      <c r="B265" s="4"/>
    </row>
    <row r="266" ht="12.75">
      <c r="B266" s="4"/>
    </row>
    <row r="267" ht="12.75">
      <c r="B267" s="4"/>
    </row>
    <row r="268" ht="12.75">
      <c r="B268" s="4"/>
    </row>
    <row r="269" ht="12.75">
      <c r="B269" s="4"/>
    </row>
    <row r="270" ht="12.75">
      <c r="B270" s="4"/>
    </row>
    <row r="271" ht="12.75">
      <c r="B271" s="4"/>
    </row>
    <row r="272" ht="12.75">
      <c r="B272" s="4"/>
    </row>
    <row r="273" ht="12.75">
      <c r="B273" s="4"/>
    </row>
    <row r="274" ht="12.75">
      <c r="B274" s="4"/>
    </row>
    <row r="275" ht="12.75">
      <c r="B275" s="4"/>
    </row>
    <row r="276" ht="12.75">
      <c r="B276" s="4"/>
    </row>
    <row r="277" ht="12.75">
      <c r="B277" s="4"/>
    </row>
    <row r="278" ht="12.75">
      <c r="B278" s="4"/>
    </row>
    <row r="279" ht="12.75">
      <c r="B279" s="4"/>
    </row>
    <row r="280" ht="12.75">
      <c r="B280" s="4"/>
    </row>
    <row r="281" ht="12.75">
      <c r="B281" s="4"/>
    </row>
    <row r="282" ht="12.75">
      <c r="B282" s="4"/>
    </row>
    <row r="283" ht="12.75">
      <c r="B283" s="4"/>
    </row>
    <row r="284" ht="12.75">
      <c r="B284" s="4"/>
    </row>
    <row r="285" ht="12.75">
      <c r="B285" s="4"/>
    </row>
    <row r="286" ht="12.75">
      <c r="B286" s="4"/>
    </row>
    <row r="287" ht="12.75">
      <c r="B287" s="4"/>
    </row>
    <row r="288" ht="12.75">
      <c r="B288" s="4"/>
    </row>
    <row r="289" ht="12.75">
      <c r="B289" s="4"/>
    </row>
    <row r="290" ht="12.75">
      <c r="B290" s="4"/>
    </row>
    <row r="291" ht="12.75">
      <c r="B291" s="4"/>
    </row>
    <row r="292" ht="12.75">
      <c r="B292" s="4"/>
    </row>
    <row r="293" ht="12.75">
      <c r="B293" s="4"/>
    </row>
    <row r="294" ht="12.75">
      <c r="B294" s="4"/>
    </row>
    <row r="295" ht="12.75">
      <c r="B295" s="4"/>
    </row>
    <row r="296" ht="12.75">
      <c r="B296" s="4"/>
    </row>
    <row r="297" ht="12.75">
      <c r="B297" s="4"/>
    </row>
    <row r="298" ht="12.75">
      <c r="B298" s="4"/>
    </row>
    <row r="299" ht="12.75">
      <c r="B299" s="4"/>
    </row>
    <row r="300" ht="12.75">
      <c r="B300" s="4"/>
    </row>
    <row r="301" ht="12.75">
      <c r="B301" s="4"/>
    </row>
    <row r="302" ht="12.75">
      <c r="B302" s="4"/>
    </row>
    <row r="303" ht="12.75">
      <c r="B303" s="4"/>
    </row>
    <row r="304" ht="12.75">
      <c r="B304" s="4"/>
    </row>
    <row r="305" ht="12.75">
      <c r="B305" s="4"/>
    </row>
    <row r="306" ht="12.75">
      <c r="B306" s="4"/>
    </row>
    <row r="307" ht="12.75">
      <c r="B307" s="4"/>
    </row>
    <row r="308" ht="12.75">
      <c r="B308" s="4"/>
    </row>
    <row r="309" ht="12.75">
      <c r="B309" s="4"/>
    </row>
    <row r="310" ht="12.75">
      <c r="B310" s="4"/>
    </row>
    <row r="311" ht="12.75">
      <c r="B311" s="4"/>
    </row>
    <row r="312" ht="12.75">
      <c r="B312" s="4"/>
    </row>
    <row r="313" ht="12.75">
      <c r="B313" s="4"/>
    </row>
    <row r="314" ht="12.75">
      <c r="B314" s="4"/>
    </row>
    <row r="315" ht="12.75">
      <c r="B315" s="4"/>
    </row>
    <row r="316" ht="12.75">
      <c r="B316" s="4"/>
    </row>
    <row r="317" ht="12.75">
      <c r="B317" s="4"/>
    </row>
    <row r="318" ht="12.75">
      <c r="B318" s="4"/>
    </row>
    <row r="319" ht="12.75">
      <c r="B319" s="4"/>
    </row>
    <row r="320" ht="12.75">
      <c r="B320" s="4"/>
    </row>
    <row r="321" ht="12.75">
      <c r="B321" s="4"/>
    </row>
    <row r="322" ht="12.75">
      <c r="B322" s="4"/>
    </row>
    <row r="323" ht="12.75">
      <c r="B323" s="4"/>
    </row>
    <row r="324" ht="12.75">
      <c r="B324" s="4"/>
    </row>
    <row r="325" ht="12.75">
      <c r="B325" s="4"/>
    </row>
    <row r="326" ht="12.75">
      <c r="B326" s="4"/>
    </row>
    <row r="327" ht="12.75">
      <c r="B327" s="4"/>
    </row>
    <row r="328" ht="12.75">
      <c r="B328" s="4"/>
    </row>
    <row r="329" ht="12.75">
      <c r="B329" s="4"/>
    </row>
    <row r="330" ht="12.75">
      <c r="B330" s="4"/>
    </row>
    <row r="331" ht="12.75">
      <c r="B331" s="4"/>
    </row>
    <row r="332" ht="12.75">
      <c r="B332" s="4"/>
    </row>
    <row r="333" ht="12.75">
      <c r="B333" s="4"/>
    </row>
    <row r="334" ht="12.75">
      <c r="B334" s="4"/>
    </row>
    <row r="335" ht="12.75">
      <c r="B335" s="4"/>
    </row>
    <row r="336" ht="12.75">
      <c r="B336" s="4"/>
    </row>
    <row r="337" ht="12.75">
      <c r="B337" s="4"/>
    </row>
    <row r="338" ht="12.75">
      <c r="B338" s="4"/>
    </row>
    <row r="339" ht="12.75">
      <c r="B339" s="4"/>
    </row>
    <row r="340" ht="12.75">
      <c r="B340" s="4"/>
    </row>
    <row r="341" ht="12.75">
      <c r="B341" s="4"/>
    </row>
    <row r="342" ht="12.75">
      <c r="B342" s="4"/>
    </row>
    <row r="343" ht="12.75">
      <c r="B343" s="4"/>
    </row>
    <row r="344" ht="12.75">
      <c r="B344" s="4"/>
    </row>
    <row r="345" ht="12.75">
      <c r="B345" s="4"/>
    </row>
    <row r="346" ht="12.75">
      <c r="B346" s="4"/>
    </row>
    <row r="347" ht="12.75">
      <c r="B347" s="4"/>
    </row>
    <row r="348" ht="12.75">
      <c r="B348" s="4"/>
    </row>
    <row r="349" ht="12.75">
      <c r="B349" s="4"/>
    </row>
    <row r="350" ht="12.75">
      <c r="B350" s="4"/>
    </row>
    <row r="351" ht="12.75">
      <c r="B351" s="4"/>
    </row>
    <row r="352" ht="12.75">
      <c r="B352" s="4"/>
    </row>
    <row r="353" ht="12.75">
      <c r="B353" s="4"/>
    </row>
    <row r="354" ht="12.75">
      <c r="B354" s="4"/>
    </row>
    <row r="355" ht="12.75">
      <c r="B355" s="4"/>
    </row>
    <row r="356" ht="12.75">
      <c r="B356" s="4"/>
    </row>
    <row r="357" ht="12.75">
      <c r="B357" s="4"/>
    </row>
    <row r="358" ht="12.75">
      <c r="B358" s="4"/>
    </row>
    <row r="359" ht="12.75">
      <c r="B359" s="4"/>
    </row>
    <row r="360" ht="12.75">
      <c r="B360" s="4"/>
    </row>
    <row r="361" ht="12.75">
      <c r="B361" s="4"/>
    </row>
    <row r="362" ht="12.75">
      <c r="B362" s="4"/>
    </row>
    <row r="363" ht="12.75">
      <c r="B363" s="4"/>
    </row>
    <row r="364" ht="12.75">
      <c r="B364" s="4"/>
    </row>
    <row r="365" ht="12.75">
      <c r="B365" s="4"/>
    </row>
    <row r="366" ht="12.75">
      <c r="B366" s="4"/>
    </row>
    <row r="367" ht="12.75">
      <c r="B367" s="4"/>
    </row>
    <row r="368" ht="12.75">
      <c r="B368" s="4"/>
    </row>
    <row r="369" ht="12.75">
      <c r="B369" s="4"/>
    </row>
    <row r="370" ht="12.75">
      <c r="B370" s="4"/>
    </row>
    <row r="371" ht="12.75">
      <c r="B371" s="4"/>
    </row>
    <row r="372" ht="12.75">
      <c r="B372" s="4"/>
    </row>
    <row r="373" ht="12.75">
      <c r="B373" s="4"/>
    </row>
    <row r="374" ht="12.75">
      <c r="B374" s="4"/>
    </row>
  </sheetData>
  <sheetProtection formatCells="0" formatRows="0" insertRows="0" insertHyperlinks="0" deleteRows="0" selectLockedCells="1"/>
  <mergeCells count="28">
    <mergeCell ref="B1:O1"/>
    <mergeCell ref="B2:O2"/>
    <mergeCell ref="G5:J5"/>
    <mergeCell ref="B4:C4"/>
    <mergeCell ref="B5:C5"/>
    <mergeCell ref="D11:E11"/>
    <mergeCell ref="B10:C10"/>
    <mergeCell ref="D10:E10"/>
    <mergeCell ref="B11:C11"/>
    <mergeCell ref="B44:N44"/>
    <mergeCell ref="B34:N34"/>
    <mergeCell ref="B20:N20"/>
    <mergeCell ref="D17:E17"/>
    <mergeCell ref="B15:C15"/>
    <mergeCell ref="D13:E13"/>
    <mergeCell ref="D14:E14"/>
    <mergeCell ref="I22:N22"/>
    <mergeCell ref="B17:C17"/>
    <mergeCell ref="D6:M6"/>
    <mergeCell ref="D15:E15"/>
    <mergeCell ref="D16:E16"/>
    <mergeCell ref="B8:N8"/>
    <mergeCell ref="B6:C6"/>
    <mergeCell ref="B16:C16"/>
    <mergeCell ref="B14:C14"/>
    <mergeCell ref="B13:C13"/>
    <mergeCell ref="B12:C12"/>
    <mergeCell ref="D12:E12"/>
  </mergeCells>
  <conditionalFormatting sqref="H47:H68 H37:H41">
    <cfRule type="cellIs" priority="1" dxfId="1" operator="equal" stopIfTrue="1">
      <formula>0</formula>
    </cfRule>
  </conditionalFormatting>
  <conditionalFormatting sqref="G47:G68 G37:G41">
    <cfRule type="cellIs" priority="2" dxfId="0" operator="equal" stopIfTrue="1">
      <formula>1</formula>
    </cfRule>
  </conditionalFormatting>
  <dataValidations count="7">
    <dataValidation type="list" allowBlank="1" showInputMessage="1" showErrorMessage="1" sqref="L47:L68 L37:L42">
      <formula1>lstOrigin</formula1>
    </dataValidation>
    <dataValidation type="list" allowBlank="1" showInputMessage="1" showErrorMessage="1" sqref="K47:K68 K37:K42">
      <formula1>lstTracked</formula1>
    </dataValidation>
    <dataValidation type="list" allowBlank="1" showInputMessage="1" showErrorMessage="1" sqref="D13">
      <formula1>lstProcessType</formula1>
    </dataValidation>
    <dataValidation type="list" allowBlank="1" showInputMessage="1" showErrorMessage="1" sqref="D14">
      <formula1>lstProcessScope</formula1>
    </dataValidation>
    <dataValidation type="list" allowBlank="1" showInputMessage="1" showErrorMessage="1" sqref="D15">
      <formula1>"&lt;select from list&gt;, Yes, No"</formula1>
    </dataValidation>
    <dataValidation type="list" allowBlank="1" showInputMessage="1" showErrorMessage="1" sqref="D16">
      <formula1>lstCompleteness</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s>
  <printOptions/>
  <pageMargins left="0.25" right="0.25" top="0.5" bottom="0.5" header="0.3" footer="0.3"/>
  <pageSetup fitToHeight="100" fitToWidth="1" horizontalDpi="600" verticalDpi="600" orientation="landscape" paperSize="119" scale="85" r:id="rId2"/>
  <headerFooter alignWithMargins="0">
    <oddFooter>&amp;CPage &amp;P&amp;RDS_Stage1_O_CoalMine_I6_2009.01.xls</oddFooter>
  </headerFooter>
  <drawing r:id="rId1"/>
</worksheet>
</file>

<file path=xl/worksheets/sheet3.xml><?xml version="1.0" encoding="utf-8"?>
<worksheet xmlns="http://schemas.openxmlformats.org/spreadsheetml/2006/main" xmlns:r="http://schemas.openxmlformats.org/officeDocument/2006/relationships">
  <sheetPr codeName="Sheet8"/>
  <dimension ref="A1:IT59"/>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 customWidth="1"/>
    <col min="2" max="18" width="30.7109375" style="231" customWidth="1"/>
    <col min="19" max="36" width="36.8515625" style="231" customWidth="1"/>
    <col min="37" max="37" width="37.00390625" style="231" customWidth="1"/>
    <col min="38" max="44" width="36.8515625" style="231" customWidth="1"/>
    <col min="45" max="53" width="36.8515625" style="10" customWidth="1"/>
    <col min="54" max="54" width="37.140625" style="10" customWidth="1"/>
    <col min="55" max="56" width="36.8515625" style="10" customWidth="1"/>
    <col min="57" max="57" width="36.7109375" style="10" customWidth="1"/>
    <col min="58" max="59" width="36.8515625" style="10" customWidth="1"/>
    <col min="60" max="60" width="36.7109375" style="10" customWidth="1"/>
    <col min="61" max="61" width="37.00390625" style="10" customWidth="1"/>
    <col min="62" max="80" width="36.8515625" style="10" customWidth="1"/>
    <col min="81" max="81" width="37.00390625" style="10" customWidth="1"/>
    <col min="82" max="99" width="36.8515625" style="10" customWidth="1"/>
    <col min="100" max="100" width="36.7109375" style="10" customWidth="1"/>
    <col min="101" max="113" width="36.8515625" style="10" customWidth="1"/>
    <col min="114" max="114" width="36.7109375" style="10" customWidth="1"/>
    <col min="115" max="117" width="36.8515625" style="10" customWidth="1"/>
    <col min="118" max="118" width="36.7109375" style="10" customWidth="1"/>
    <col min="119" max="126" width="36.8515625" style="10" customWidth="1"/>
    <col min="127" max="127" width="36.7109375" style="10" customWidth="1"/>
    <col min="128" max="16384" width="36.8515625" style="10" customWidth="1"/>
  </cols>
  <sheetData>
    <row r="1" spans="1:44" s="9" customFormat="1" ht="12.75" customHeight="1">
      <c r="A1" s="8" t="s">
        <v>146</v>
      </c>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row>
    <row r="2" spans="1:254" s="20" customFormat="1" ht="12.75" customHeight="1">
      <c r="A2" s="19" t="s">
        <v>147</v>
      </c>
      <c r="B2" s="215">
        <f>IF(B3="","",1)</f>
        <v>1</v>
      </c>
      <c r="C2" s="215">
        <f aca="true" t="shared" si="0" ref="C2:BN2">IF(C3="","",B2+1)</f>
        <v>2</v>
      </c>
      <c r="D2" s="215">
        <f t="shared" si="0"/>
        <v>3</v>
      </c>
      <c r="E2" s="215">
        <f t="shared" si="0"/>
        <v>4</v>
      </c>
      <c r="F2" s="215">
        <f t="shared" si="0"/>
        <v>5</v>
      </c>
      <c r="G2" s="215">
        <f t="shared" si="0"/>
        <v>6</v>
      </c>
      <c r="H2" s="215">
        <f t="shared" si="0"/>
        <v>7</v>
      </c>
      <c r="I2" s="215">
        <f t="shared" si="0"/>
        <v>8</v>
      </c>
      <c r="J2" s="215">
        <f t="shared" si="0"/>
        <v>9</v>
      </c>
      <c r="K2" s="215">
        <f t="shared" si="0"/>
        <v>10</v>
      </c>
      <c r="L2" s="215">
        <f t="shared" si="0"/>
        <v>11</v>
      </c>
      <c r="M2" s="215">
        <f t="shared" si="0"/>
        <v>12</v>
      </c>
      <c r="N2" s="215">
        <f t="shared" si="0"/>
        <v>13</v>
      </c>
      <c r="O2" s="215">
        <f t="shared" si="0"/>
        <v>14</v>
      </c>
      <c r="P2" s="215">
        <f t="shared" si="0"/>
        <v>15</v>
      </c>
      <c r="Q2" s="215">
        <f t="shared" si="0"/>
        <v>16</v>
      </c>
      <c r="R2" s="215">
        <f t="shared" si="0"/>
        <v>17</v>
      </c>
      <c r="S2" s="215">
        <f t="shared" si="0"/>
        <v>18</v>
      </c>
      <c r="T2" s="215">
        <f t="shared" si="0"/>
      </c>
      <c r="U2" s="215">
        <f t="shared" si="0"/>
      </c>
      <c r="V2" s="215">
        <f t="shared" si="0"/>
      </c>
      <c r="W2" s="215">
        <f t="shared" si="0"/>
      </c>
      <c r="X2" s="215">
        <f t="shared" si="0"/>
      </c>
      <c r="Y2" s="215">
        <f t="shared" si="0"/>
      </c>
      <c r="Z2" s="215">
        <f t="shared" si="0"/>
      </c>
      <c r="AA2" s="215">
        <f t="shared" si="0"/>
      </c>
      <c r="AB2" s="215">
        <f t="shared" si="0"/>
      </c>
      <c r="AC2" s="215">
        <f t="shared" si="0"/>
      </c>
      <c r="AD2" s="215">
        <f t="shared" si="0"/>
      </c>
      <c r="AE2" s="215">
        <f t="shared" si="0"/>
      </c>
      <c r="AF2" s="215">
        <f t="shared" si="0"/>
      </c>
      <c r="AG2" s="215">
        <f t="shared" si="0"/>
      </c>
      <c r="AH2" s="215">
        <f t="shared" si="0"/>
      </c>
      <c r="AI2" s="215">
        <f t="shared" si="0"/>
      </c>
      <c r="AJ2" s="215">
        <f t="shared" si="0"/>
      </c>
      <c r="AK2" s="215">
        <f t="shared" si="0"/>
      </c>
      <c r="AL2" s="215">
        <f t="shared" si="0"/>
      </c>
      <c r="AM2" s="215">
        <f t="shared" si="0"/>
      </c>
      <c r="AN2" s="215">
        <f t="shared" si="0"/>
      </c>
      <c r="AO2" s="215">
        <f t="shared" si="0"/>
      </c>
      <c r="AP2" s="215">
        <f t="shared" si="0"/>
      </c>
      <c r="AQ2" s="215">
        <f t="shared" si="0"/>
      </c>
      <c r="AR2" s="215">
        <f t="shared" si="0"/>
      </c>
      <c r="AS2" s="130">
        <f t="shared" si="0"/>
      </c>
      <c r="AT2" s="130">
        <f t="shared" si="0"/>
      </c>
      <c r="AU2" s="130">
        <f t="shared" si="0"/>
      </c>
      <c r="AV2" s="130">
        <f t="shared" si="0"/>
      </c>
      <c r="AW2" s="130">
        <f t="shared" si="0"/>
      </c>
      <c r="AX2" s="130">
        <f t="shared" si="0"/>
      </c>
      <c r="AY2" s="130">
        <f t="shared" si="0"/>
      </c>
      <c r="AZ2" s="130">
        <f t="shared" si="0"/>
      </c>
      <c r="BA2" s="130">
        <f t="shared" si="0"/>
      </c>
      <c r="BB2" s="130">
        <f t="shared" si="0"/>
      </c>
      <c r="BC2" s="130">
        <f t="shared" si="0"/>
      </c>
      <c r="BD2" s="130">
        <f t="shared" si="0"/>
      </c>
      <c r="BE2" s="130">
        <f t="shared" si="0"/>
      </c>
      <c r="BF2" s="130">
        <f t="shared" si="0"/>
      </c>
      <c r="BG2" s="130">
        <f t="shared" si="0"/>
      </c>
      <c r="BH2" s="130">
        <f t="shared" si="0"/>
      </c>
      <c r="BI2" s="130">
        <f t="shared" si="0"/>
      </c>
      <c r="BJ2" s="130">
        <f t="shared" si="0"/>
      </c>
      <c r="BK2" s="130">
        <f t="shared" si="0"/>
      </c>
      <c r="BL2" s="130">
        <f t="shared" si="0"/>
      </c>
      <c r="BM2" s="130">
        <f t="shared" si="0"/>
      </c>
      <c r="BN2" s="130">
        <f t="shared" si="0"/>
      </c>
      <c r="BO2" s="130">
        <f aca="true" t="shared" si="1" ref="BO2:DZ2">IF(BO3="","",BN2+1)</f>
      </c>
      <c r="BP2" s="130">
        <f t="shared" si="1"/>
      </c>
      <c r="BQ2" s="130">
        <f t="shared" si="1"/>
      </c>
      <c r="BR2" s="130">
        <f t="shared" si="1"/>
      </c>
      <c r="BS2" s="130">
        <f t="shared" si="1"/>
      </c>
      <c r="BT2" s="130">
        <f t="shared" si="1"/>
      </c>
      <c r="BU2" s="130">
        <f t="shared" si="1"/>
      </c>
      <c r="BV2" s="130">
        <f t="shared" si="1"/>
      </c>
      <c r="BW2" s="130">
        <f t="shared" si="1"/>
      </c>
      <c r="BX2" s="130">
        <f t="shared" si="1"/>
      </c>
      <c r="BY2" s="130">
        <f t="shared" si="1"/>
      </c>
      <c r="BZ2" s="130">
        <f t="shared" si="1"/>
      </c>
      <c r="CA2" s="130">
        <f t="shared" si="1"/>
      </c>
      <c r="CB2" s="130">
        <f t="shared" si="1"/>
      </c>
      <c r="CC2" s="130">
        <f t="shared" si="1"/>
      </c>
      <c r="CD2" s="130">
        <f t="shared" si="1"/>
      </c>
      <c r="CE2" s="130">
        <f t="shared" si="1"/>
      </c>
      <c r="CF2" s="130">
        <f t="shared" si="1"/>
      </c>
      <c r="CG2" s="130">
        <f t="shared" si="1"/>
      </c>
      <c r="CH2" s="130">
        <f t="shared" si="1"/>
      </c>
      <c r="CI2" s="130">
        <f t="shared" si="1"/>
      </c>
      <c r="CJ2" s="130">
        <f t="shared" si="1"/>
      </c>
      <c r="CK2" s="130">
        <f t="shared" si="1"/>
      </c>
      <c r="CL2" s="130">
        <f t="shared" si="1"/>
      </c>
      <c r="CM2" s="130">
        <f t="shared" si="1"/>
      </c>
      <c r="CN2" s="130">
        <f t="shared" si="1"/>
      </c>
      <c r="CO2" s="130">
        <f t="shared" si="1"/>
      </c>
      <c r="CP2" s="130">
        <f t="shared" si="1"/>
      </c>
      <c r="CQ2" s="130">
        <f t="shared" si="1"/>
      </c>
      <c r="CR2" s="130">
        <f t="shared" si="1"/>
      </c>
      <c r="CS2" s="130">
        <f t="shared" si="1"/>
      </c>
      <c r="CT2" s="130">
        <f t="shared" si="1"/>
      </c>
      <c r="CU2" s="130">
        <f t="shared" si="1"/>
      </c>
      <c r="CV2" s="130">
        <f t="shared" si="1"/>
      </c>
      <c r="CW2" s="130">
        <f t="shared" si="1"/>
      </c>
      <c r="CX2" s="130">
        <f t="shared" si="1"/>
      </c>
      <c r="CY2" s="130">
        <f t="shared" si="1"/>
      </c>
      <c r="CZ2" s="130">
        <f t="shared" si="1"/>
      </c>
      <c r="DA2" s="130">
        <f t="shared" si="1"/>
      </c>
      <c r="DB2" s="130">
        <f t="shared" si="1"/>
      </c>
      <c r="DC2" s="130">
        <f t="shared" si="1"/>
      </c>
      <c r="DD2" s="130">
        <f t="shared" si="1"/>
      </c>
      <c r="DE2" s="130">
        <f t="shared" si="1"/>
      </c>
      <c r="DF2" s="130">
        <f t="shared" si="1"/>
      </c>
      <c r="DG2" s="130">
        <f t="shared" si="1"/>
      </c>
      <c r="DH2" s="130">
        <f t="shared" si="1"/>
      </c>
      <c r="DI2" s="130">
        <f t="shared" si="1"/>
      </c>
      <c r="DJ2" s="130">
        <f t="shared" si="1"/>
      </c>
      <c r="DK2" s="130">
        <f t="shared" si="1"/>
      </c>
      <c r="DL2" s="130">
        <f t="shared" si="1"/>
      </c>
      <c r="DM2" s="130">
        <f t="shared" si="1"/>
      </c>
      <c r="DN2" s="130">
        <f t="shared" si="1"/>
      </c>
      <c r="DO2" s="130">
        <f t="shared" si="1"/>
      </c>
      <c r="DP2" s="130">
        <f t="shared" si="1"/>
      </c>
      <c r="DQ2" s="130">
        <f t="shared" si="1"/>
      </c>
      <c r="DR2" s="130">
        <f t="shared" si="1"/>
      </c>
      <c r="DS2" s="130">
        <f t="shared" si="1"/>
      </c>
      <c r="DT2" s="130">
        <f t="shared" si="1"/>
      </c>
      <c r="DU2" s="130">
        <f t="shared" si="1"/>
      </c>
      <c r="DV2" s="130">
        <f t="shared" si="1"/>
      </c>
      <c r="DW2" s="130">
        <f t="shared" si="1"/>
      </c>
      <c r="DX2" s="130">
        <f t="shared" si="1"/>
      </c>
      <c r="DY2" s="130">
        <f t="shared" si="1"/>
      </c>
      <c r="DZ2" s="130">
        <f t="shared" si="1"/>
      </c>
      <c r="EA2" s="130">
        <f aca="true" t="shared" si="2" ref="EA2:GL2">IF(EA3="","",DZ2+1)</f>
      </c>
      <c r="EB2" s="130">
        <f t="shared" si="2"/>
      </c>
      <c r="EC2" s="130">
        <f t="shared" si="2"/>
      </c>
      <c r="ED2" s="130">
        <f t="shared" si="2"/>
      </c>
      <c r="EE2" s="130">
        <f t="shared" si="2"/>
      </c>
      <c r="EF2" s="130">
        <f t="shared" si="2"/>
      </c>
      <c r="EG2" s="130">
        <f t="shared" si="2"/>
      </c>
      <c r="EH2" s="130">
        <f t="shared" si="2"/>
      </c>
      <c r="EI2" s="130">
        <f t="shared" si="2"/>
      </c>
      <c r="EJ2" s="130">
        <f t="shared" si="2"/>
      </c>
      <c r="EK2" s="130">
        <f t="shared" si="2"/>
      </c>
      <c r="EL2" s="130">
        <f t="shared" si="2"/>
      </c>
      <c r="EM2" s="130">
        <f t="shared" si="2"/>
      </c>
      <c r="EN2" s="130">
        <f t="shared" si="2"/>
      </c>
      <c r="EO2" s="130">
        <f t="shared" si="2"/>
      </c>
      <c r="EP2" s="130">
        <f t="shared" si="2"/>
      </c>
      <c r="EQ2" s="130">
        <f t="shared" si="2"/>
      </c>
      <c r="ER2" s="130">
        <f t="shared" si="2"/>
      </c>
      <c r="ES2" s="130">
        <f t="shared" si="2"/>
      </c>
      <c r="ET2" s="130">
        <f t="shared" si="2"/>
      </c>
      <c r="EU2" s="130">
        <f t="shared" si="2"/>
      </c>
      <c r="EV2" s="130">
        <f t="shared" si="2"/>
      </c>
      <c r="EW2" s="130">
        <f t="shared" si="2"/>
      </c>
      <c r="EX2" s="130">
        <f t="shared" si="2"/>
      </c>
      <c r="EY2" s="130">
        <f t="shared" si="2"/>
      </c>
      <c r="EZ2" s="130">
        <f t="shared" si="2"/>
      </c>
      <c r="FA2" s="130">
        <f t="shared" si="2"/>
      </c>
      <c r="FB2" s="130">
        <f t="shared" si="2"/>
      </c>
      <c r="FC2" s="130">
        <f t="shared" si="2"/>
      </c>
      <c r="FD2" s="130">
        <f t="shared" si="2"/>
      </c>
      <c r="FE2" s="130">
        <f t="shared" si="2"/>
      </c>
      <c r="FF2" s="130">
        <f t="shared" si="2"/>
      </c>
      <c r="FG2" s="130">
        <f t="shared" si="2"/>
      </c>
      <c r="FH2" s="130">
        <f t="shared" si="2"/>
      </c>
      <c r="FI2" s="130">
        <f t="shared" si="2"/>
      </c>
      <c r="FJ2" s="130">
        <f t="shared" si="2"/>
      </c>
      <c r="FK2" s="130">
        <f t="shared" si="2"/>
      </c>
      <c r="FL2" s="130">
        <f t="shared" si="2"/>
      </c>
      <c r="FM2" s="130">
        <f t="shared" si="2"/>
      </c>
      <c r="FN2" s="130">
        <f t="shared" si="2"/>
      </c>
      <c r="FO2" s="130">
        <f t="shared" si="2"/>
      </c>
      <c r="FP2" s="130">
        <f t="shared" si="2"/>
      </c>
      <c r="FQ2" s="130">
        <f t="shared" si="2"/>
      </c>
      <c r="FR2" s="130">
        <f t="shared" si="2"/>
      </c>
      <c r="FS2" s="130">
        <f t="shared" si="2"/>
      </c>
      <c r="FT2" s="130">
        <f t="shared" si="2"/>
      </c>
      <c r="FU2" s="130">
        <f t="shared" si="2"/>
      </c>
      <c r="FV2" s="130">
        <f t="shared" si="2"/>
      </c>
      <c r="FW2" s="130">
        <f t="shared" si="2"/>
      </c>
      <c r="FX2" s="130">
        <f t="shared" si="2"/>
      </c>
      <c r="FY2" s="130">
        <f t="shared" si="2"/>
      </c>
      <c r="FZ2" s="130">
        <f t="shared" si="2"/>
      </c>
      <c r="GA2" s="130">
        <f t="shared" si="2"/>
      </c>
      <c r="GB2" s="130">
        <f t="shared" si="2"/>
      </c>
      <c r="GC2" s="130">
        <f t="shared" si="2"/>
      </c>
      <c r="GD2" s="130">
        <f t="shared" si="2"/>
      </c>
      <c r="GE2" s="130">
        <f t="shared" si="2"/>
      </c>
      <c r="GF2" s="130">
        <f t="shared" si="2"/>
      </c>
      <c r="GG2" s="130">
        <f t="shared" si="2"/>
      </c>
      <c r="GH2" s="130">
        <f t="shared" si="2"/>
      </c>
      <c r="GI2" s="130">
        <f t="shared" si="2"/>
      </c>
      <c r="GJ2" s="130">
        <f t="shared" si="2"/>
      </c>
      <c r="GK2" s="130">
        <f t="shared" si="2"/>
      </c>
      <c r="GL2" s="130">
        <f t="shared" si="2"/>
      </c>
      <c r="GM2" s="130">
        <f aca="true" t="shared" si="3" ref="GM2:IT2">IF(GM3="","",GL2+1)</f>
      </c>
      <c r="GN2" s="130">
        <f t="shared" si="3"/>
      </c>
      <c r="GO2" s="130">
        <f t="shared" si="3"/>
      </c>
      <c r="GP2" s="130">
        <f t="shared" si="3"/>
      </c>
      <c r="GQ2" s="130">
        <f t="shared" si="3"/>
      </c>
      <c r="GR2" s="130">
        <f t="shared" si="3"/>
      </c>
      <c r="GS2" s="130">
        <f t="shared" si="3"/>
      </c>
      <c r="GT2" s="130">
        <f t="shared" si="3"/>
      </c>
      <c r="GU2" s="130">
        <f t="shared" si="3"/>
      </c>
      <c r="GV2" s="130">
        <f t="shared" si="3"/>
      </c>
      <c r="GW2" s="130">
        <f t="shared" si="3"/>
      </c>
      <c r="GX2" s="130">
        <f t="shared" si="3"/>
      </c>
      <c r="GY2" s="130">
        <f t="shared" si="3"/>
      </c>
      <c r="GZ2" s="130">
        <f t="shared" si="3"/>
      </c>
      <c r="HA2" s="130">
        <f t="shared" si="3"/>
      </c>
      <c r="HB2" s="130">
        <f t="shared" si="3"/>
      </c>
      <c r="HC2" s="130">
        <f t="shared" si="3"/>
      </c>
      <c r="HD2" s="130">
        <f t="shared" si="3"/>
      </c>
      <c r="HE2" s="130">
        <f t="shared" si="3"/>
      </c>
      <c r="HF2" s="130">
        <f t="shared" si="3"/>
      </c>
      <c r="HG2" s="130">
        <f t="shared" si="3"/>
      </c>
      <c r="HH2" s="130">
        <f t="shared" si="3"/>
      </c>
      <c r="HI2" s="130">
        <f t="shared" si="3"/>
      </c>
      <c r="HJ2" s="130">
        <f t="shared" si="3"/>
      </c>
      <c r="HK2" s="130">
        <f t="shared" si="3"/>
      </c>
      <c r="HL2" s="130">
        <f t="shared" si="3"/>
      </c>
      <c r="HM2" s="130">
        <f t="shared" si="3"/>
      </c>
      <c r="HN2" s="130">
        <f t="shared" si="3"/>
      </c>
      <c r="HO2" s="130">
        <f t="shared" si="3"/>
      </c>
      <c r="HP2" s="130">
        <f t="shared" si="3"/>
      </c>
      <c r="HQ2" s="130">
        <f t="shared" si="3"/>
      </c>
      <c r="HR2" s="130">
        <f t="shared" si="3"/>
      </c>
      <c r="HS2" s="130">
        <f t="shared" si="3"/>
      </c>
      <c r="HT2" s="130">
        <f t="shared" si="3"/>
      </c>
      <c r="HU2" s="130">
        <f t="shared" si="3"/>
      </c>
      <c r="HV2" s="130">
        <f t="shared" si="3"/>
      </c>
      <c r="HW2" s="130">
        <f t="shared" si="3"/>
      </c>
      <c r="HX2" s="130">
        <f t="shared" si="3"/>
      </c>
      <c r="HY2" s="130">
        <f t="shared" si="3"/>
      </c>
      <c r="HZ2" s="130">
        <f t="shared" si="3"/>
      </c>
      <c r="IA2" s="130">
        <f t="shared" si="3"/>
      </c>
      <c r="IB2" s="130">
        <f t="shared" si="3"/>
      </c>
      <c r="IC2" s="130">
        <f t="shared" si="3"/>
      </c>
      <c r="ID2" s="130">
        <f t="shared" si="3"/>
      </c>
      <c r="IE2" s="130">
        <f t="shared" si="3"/>
      </c>
      <c r="IF2" s="130">
        <f t="shared" si="3"/>
      </c>
      <c r="IG2" s="130">
        <f t="shared" si="3"/>
      </c>
      <c r="IH2" s="130">
        <f t="shared" si="3"/>
      </c>
      <c r="II2" s="130">
        <f t="shared" si="3"/>
      </c>
      <c r="IJ2" s="130">
        <f t="shared" si="3"/>
      </c>
      <c r="IK2" s="130">
        <f t="shared" si="3"/>
      </c>
      <c r="IL2" s="130">
        <f t="shared" si="3"/>
      </c>
      <c r="IM2" s="130">
        <f t="shared" si="3"/>
      </c>
      <c r="IN2" s="130">
        <f t="shared" si="3"/>
      </c>
      <c r="IO2" s="130">
        <f t="shared" si="3"/>
      </c>
      <c r="IP2" s="130">
        <f t="shared" si="3"/>
      </c>
      <c r="IQ2" s="130">
        <f t="shared" si="3"/>
      </c>
      <c r="IR2" s="130">
        <f t="shared" si="3"/>
      </c>
      <c r="IS2" s="130">
        <f t="shared" si="3"/>
      </c>
      <c r="IT2" s="130">
        <f t="shared" si="3"/>
      </c>
    </row>
    <row r="3" spans="1:219" s="14" customFormat="1" ht="12.75" customHeight="1">
      <c r="A3" s="12" t="s">
        <v>148</v>
      </c>
      <c r="B3" s="216" t="s">
        <v>153</v>
      </c>
      <c r="C3" s="216" t="s">
        <v>87</v>
      </c>
      <c r="D3" s="216" t="s">
        <v>150</v>
      </c>
      <c r="E3" s="216" t="s">
        <v>150</v>
      </c>
      <c r="F3" s="216" t="s">
        <v>149</v>
      </c>
      <c r="G3" s="216" t="s">
        <v>151</v>
      </c>
      <c r="H3" s="216" t="s">
        <v>149</v>
      </c>
      <c r="I3" s="216" t="s">
        <v>87</v>
      </c>
      <c r="J3" s="216" t="s">
        <v>149</v>
      </c>
      <c r="K3" s="216" t="s">
        <v>149</v>
      </c>
      <c r="L3" s="216" t="s">
        <v>149</v>
      </c>
      <c r="M3" s="216" t="s">
        <v>149</v>
      </c>
      <c r="N3" s="216" t="s">
        <v>149</v>
      </c>
      <c r="O3" s="216" t="s">
        <v>149</v>
      </c>
      <c r="P3" s="216" t="s">
        <v>149</v>
      </c>
      <c r="Q3" s="216" t="s">
        <v>149</v>
      </c>
      <c r="R3" s="216" t="s">
        <v>149</v>
      </c>
      <c r="S3" s="216" t="s">
        <v>149</v>
      </c>
      <c r="T3" s="216"/>
      <c r="U3" s="216"/>
      <c r="V3" s="216"/>
      <c r="W3" s="216"/>
      <c r="X3" s="216"/>
      <c r="Y3" s="216"/>
      <c r="Z3" s="216"/>
      <c r="AA3" s="216"/>
      <c r="AB3" s="216"/>
      <c r="AC3" s="216"/>
      <c r="AD3" s="216"/>
      <c r="AE3" s="216"/>
      <c r="AF3" s="216"/>
      <c r="AG3" s="216"/>
      <c r="AH3" s="216"/>
      <c r="AI3" s="216"/>
      <c r="AJ3" s="216"/>
      <c r="AK3" s="216"/>
      <c r="AL3" s="216"/>
      <c r="AM3" s="216"/>
      <c r="AN3" s="216"/>
      <c r="AO3" s="216"/>
      <c r="AP3" s="216"/>
      <c r="AQ3" s="216"/>
      <c r="AR3" s="216"/>
      <c r="GL3" s="15"/>
      <c r="GM3" s="15"/>
      <c r="GN3" s="15"/>
      <c r="GO3" s="15"/>
      <c r="GP3" s="15"/>
      <c r="GQ3" s="15"/>
      <c r="GR3" s="15"/>
      <c r="GS3" s="15"/>
      <c r="GT3" s="15"/>
      <c r="GU3" s="15"/>
      <c r="GV3" s="15"/>
      <c r="GW3" s="15"/>
      <c r="GX3" s="15"/>
      <c r="GY3" s="15"/>
      <c r="GZ3" s="15"/>
      <c r="HA3" s="15"/>
      <c r="HB3" s="15"/>
      <c r="HC3" s="15"/>
      <c r="HD3" s="15"/>
      <c r="HE3" s="15"/>
      <c r="HF3" s="15"/>
      <c r="HG3" s="15"/>
      <c r="HH3" s="15"/>
      <c r="HI3" s="15"/>
      <c r="HJ3" s="15"/>
      <c r="HK3" s="15"/>
    </row>
    <row r="4" spans="1:219" s="14" customFormat="1" ht="51.75" customHeight="1">
      <c r="A4" s="12" t="s">
        <v>154</v>
      </c>
      <c r="B4" s="217" t="s">
        <v>524</v>
      </c>
      <c r="C4" s="216" t="s">
        <v>515</v>
      </c>
      <c r="D4" s="217" t="s">
        <v>184</v>
      </c>
      <c r="E4" s="217" t="s">
        <v>519</v>
      </c>
      <c r="F4" s="217" t="s">
        <v>476</v>
      </c>
      <c r="G4" s="216" t="s">
        <v>486</v>
      </c>
      <c r="H4" s="216" t="s">
        <v>487</v>
      </c>
      <c r="I4" s="217" t="s">
        <v>510</v>
      </c>
      <c r="J4" s="217" t="s">
        <v>527</v>
      </c>
      <c r="K4" s="217" t="s">
        <v>533</v>
      </c>
      <c r="L4" s="217" t="s">
        <v>541</v>
      </c>
      <c r="M4" s="217" t="s">
        <v>547</v>
      </c>
      <c r="N4" s="217" t="s">
        <v>553</v>
      </c>
      <c r="O4" s="217" t="s">
        <v>562</v>
      </c>
      <c r="P4" s="218" t="s">
        <v>564</v>
      </c>
      <c r="Q4" s="217" t="s">
        <v>578</v>
      </c>
      <c r="R4" s="216" t="s">
        <v>581</v>
      </c>
      <c r="S4" s="363" t="s">
        <v>836</v>
      </c>
      <c r="T4" s="216"/>
      <c r="U4" s="216"/>
      <c r="V4" s="216"/>
      <c r="W4" s="216"/>
      <c r="X4" s="216"/>
      <c r="Y4" s="216"/>
      <c r="Z4" s="216"/>
      <c r="AA4" s="216"/>
      <c r="AB4" s="216"/>
      <c r="AC4" s="216"/>
      <c r="AD4" s="216"/>
      <c r="AE4" s="216"/>
      <c r="AF4" s="216"/>
      <c r="AG4" s="216"/>
      <c r="AH4" s="216"/>
      <c r="AI4" s="217"/>
      <c r="AJ4" s="217"/>
      <c r="AK4" s="217"/>
      <c r="AL4" s="216"/>
      <c r="AM4" s="216"/>
      <c r="AN4" s="216"/>
      <c r="AO4" s="216"/>
      <c r="AP4" s="216"/>
      <c r="AQ4" s="216"/>
      <c r="AR4" s="216"/>
      <c r="AZ4" s="18"/>
      <c r="BA4" s="18"/>
      <c r="BB4" s="18"/>
      <c r="BC4" s="18"/>
      <c r="BD4" s="18"/>
      <c r="BE4" s="18"/>
      <c r="BF4" s="18"/>
      <c r="GJ4" s="15"/>
      <c r="GL4" s="15"/>
      <c r="GM4" s="15"/>
      <c r="GN4" s="15"/>
      <c r="GO4" s="15"/>
      <c r="GP4" s="15"/>
      <c r="GQ4" s="15"/>
      <c r="GR4" s="15"/>
      <c r="GS4" s="15"/>
      <c r="GT4" s="15"/>
      <c r="GU4" s="15"/>
      <c r="GV4" s="15"/>
      <c r="GW4" s="15"/>
      <c r="GX4" s="15"/>
      <c r="GY4" s="15"/>
      <c r="GZ4" s="15"/>
      <c r="HA4" s="15"/>
      <c r="HB4" s="15"/>
      <c r="HC4" s="15"/>
      <c r="HD4" s="15"/>
      <c r="HE4" s="15"/>
      <c r="HF4" s="15"/>
      <c r="HG4" s="15"/>
      <c r="HH4" s="15"/>
      <c r="HI4" s="15"/>
      <c r="HJ4" s="15"/>
      <c r="HK4" s="15"/>
    </row>
    <row r="5" spans="1:219" s="205" customFormat="1" ht="25.5" customHeight="1">
      <c r="A5" s="204" t="s">
        <v>155</v>
      </c>
      <c r="B5" s="219" t="s">
        <v>525</v>
      </c>
      <c r="C5" s="220" t="s">
        <v>790</v>
      </c>
      <c r="D5" s="219" t="s">
        <v>183</v>
      </c>
      <c r="E5" s="220" t="s">
        <v>520</v>
      </c>
      <c r="F5" s="219" t="s">
        <v>477</v>
      </c>
      <c r="G5" s="219" t="s">
        <v>488</v>
      </c>
      <c r="H5" s="219" t="s">
        <v>489</v>
      </c>
      <c r="I5" s="220" t="s">
        <v>790</v>
      </c>
      <c r="J5" s="219" t="s">
        <v>528</v>
      </c>
      <c r="K5" s="220" t="s">
        <v>534</v>
      </c>
      <c r="L5" s="219" t="s">
        <v>542</v>
      </c>
      <c r="M5" s="220" t="s">
        <v>790</v>
      </c>
      <c r="N5" s="219" t="s">
        <v>554</v>
      </c>
      <c r="O5" s="220" t="s">
        <v>790</v>
      </c>
      <c r="P5" s="219" t="s">
        <v>565</v>
      </c>
      <c r="Q5" s="220" t="s">
        <v>791</v>
      </c>
      <c r="R5" s="220" t="s">
        <v>183</v>
      </c>
      <c r="S5" s="364" t="s">
        <v>790</v>
      </c>
      <c r="T5" s="219"/>
      <c r="U5" s="219"/>
      <c r="V5" s="219"/>
      <c r="W5" s="219"/>
      <c r="X5" s="219"/>
      <c r="Y5" s="219"/>
      <c r="Z5" s="219"/>
      <c r="AA5" s="219"/>
      <c r="AB5" s="219"/>
      <c r="AC5" s="219"/>
      <c r="AD5" s="219"/>
      <c r="AE5" s="219"/>
      <c r="AF5" s="219"/>
      <c r="AG5" s="219"/>
      <c r="AH5" s="219"/>
      <c r="AI5" s="219"/>
      <c r="AJ5" s="219"/>
      <c r="AK5" s="219"/>
      <c r="AL5" s="219"/>
      <c r="AM5" s="219"/>
      <c r="AN5" s="219"/>
      <c r="AO5" s="219"/>
      <c r="AP5" s="219"/>
      <c r="AQ5" s="219"/>
      <c r="AR5" s="219"/>
      <c r="DX5" s="206"/>
      <c r="GL5" s="207"/>
      <c r="GM5" s="207"/>
      <c r="GN5" s="207"/>
      <c r="GO5" s="207"/>
      <c r="GP5" s="207"/>
      <c r="GQ5" s="207"/>
      <c r="GR5" s="207"/>
      <c r="GS5" s="207"/>
      <c r="GT5" s="207"/>
      <c r="GU5" s="207"/>
      <c r="GV5" s="207"/>
      <c r="GW5" s="207"/>
      <c r="GX5" s="207"/>
      <c r="GY5" s="207"/>
      <c r="GZ5" s="207"/>
      <c r="HA5" s="207"/>
      <c r="HB5" s="207"/>
      <c r="HC5" s="207"/>
      <c r="HD5" s="207"/>
      <c r="HE5" s="207"/>
      <c r="HF5" s="208"/>
      <c r="HG5" s="207"/>
      <c r="HH5" s="207"/>
      <c r="HI5" s="207"/>
      <c r="HJ5" s="207"/>
      <c r="HK5" s="207"/>
    </row>
    <row r="6" spans="1:219" s="205" customFormat="1" ht="12.75" customHeight="1">
      <c r="A6" s="204" t="s">
        <v>156</v>
      </c>
      <c r="B6" s="219"/>
      <c r="C6" s="219"/>
      <c r="D6" s="219"/>
      <c r="E6" s="219"/>
      <c r="F6" s="219"/>
      <c r="G6" s="219" t="s">
        <v>490</v>
      </c>
      <c r="H6" s="219" t="s">
        <v>491</v>
      </c>
      <c r="I6" s="219"/>
      <c r="J6" s="219"/>
      <c r="K6" s="219"/>
      <c r="L6" s="219"/>
      <c r="M6" s="219"/>
      <c r="N6" s="219" t="s">
        <v>555</v>
      </c>
      <c r="O6" s="219"/>
      <c r="P6" s="219" t="s">
        <v>566</v>
      </c>
      <c r="Q6" s="219"/>
      <c r="R6" s="219"/>
      <c r="S6" s="219"/>
      <c r="T6" s="219"/>
      <c r="U6" s="219"/>
      <c r="V6" s="219"/>
      <c r="W6" s="219"/>
      <c r="X6" s="219"/>
      <c r="Y6" s="219"/>
      <c r="Z6" s="219"/>
      <c r="AA6" s="219"/>
      <c r="AB6" s="219"/>
      <c r="AC6" s="219"/>
      <c r="AD6" s="219"/>
      <c r="AE6" s="219"/>
      <c r="AF6" s="219"/>
      <c r="AG6" s="219"/>
      <c r="AH6" s="219"/>
      <c r="AI6" s="219"/>
      <c r="AJ6" s="219"/>
      <c r="AK6" s="219"/>
      <c r="AL6" s="219"/>
      <c r="AM6" s="219"/>
      <c r="AN6" s="219"/>
      <c r="AO6" s="219"/>
      <c r="AP6" s="219"/>
      <c r="AQ6" s="219"/>
      <c r="AR6" s="219"/>
      <c r="GL6" s="207"/>
      <c r="GM6" s="207"/>
      <c r="GN6" s="207"/>
      <c r="GO6" s="207"/>
      <c r="GP6" s="207"/>
      <c r="GQ6" s="207"/>
      <c r="GR6" s="207"/>
      <c r="GS6" s="207"/>
      <c r="GT6" s="207"/>
      <c r="GU6" s="207"/>
      <c r="GV6" s="207"/>
      <c r="GW6" s="207"/>
      <c r="GX6" s="207"/>
      <c r="GY6" s="207"/>
      <c r="GZ6" s="207"/>
      <c r="HA6" s="207"/>
      <c r="HB6" s="207"/>
      <c r="HC6" s="207"/>
      <c r="HD6" s="207"/>
      <c r="HE6" s="207"/>
      <c r="HF6" s="207"/>
      <c r="HG6" s="207"/>
      <c r="HH6" s="207"/>
      <c r="HI6" s="207"/>
      <c r="HJ6" s="207"/>
      <c r="HK6" s="207"/>
    </row>
    <row r="7" spans="1:219" s="16" customFormat="1" ht="12.75" customHeight="1">
      <c r="A7" s="12" t="s">
        <v>157</v>
      </c>
      <c r="B7" s="221" t="s">
        <v>559</v>
      </c>
      <c r="C7" s="221" t="s">
        <v>517</v>
      </c>
      <c r="D7" s="221" t="s">
        <v>181</v>
      </c>
      <c r="E7" s="222" t="s">
        <v>521</v>
      </c>
      <c r="F7" s="221" t="s">
        <v>478</v>
      </c>
      <c r="G7" s="221" t="s">
        <v>181</v>
      </c>
      <c r="H7" s="221" t="s">
        <v>492</v>
      </c>
      <c r="I7" s="222" t="s">
        <v>181</v>
      </c>
      <c r="J7" s="221" t="s">
        <v>182</v>
      </c>
      <c r="K7" s="222" t="s">
        <v>517</v>
      </c>
      <c r="L7" s="221" t="s">
        <v>182</v>
      </c>
      <c r="M7" s="221" t="s">
        <v>182</v>
      </c>
      <c r="N7" s="221" t="s">
        <v>556</v>
      </c>
      <c r="O7" s="221" t="s">
        <v>563</v>
      </c>
      <c r="P7" s="221" t="s">
        <v>478</v>
      </c>
      <c r="Q7" s="221" t="s">
        <v>580</v>
      </c>
      <c r="R7" s="221" t="s">
        <v>580</v>
      </c>
      <c r="S7" s="365" t="s">
        <v>837</v>
      </c>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row>
    <row r="8" spans="1:219" s="16" customFormat="1" ht="12.75" customHeight="1">
      <c r="A8" s="12" t="s">
        <v>170</v>
      </c>
      <c r="B8" s="221" t="s">
        <v>560</v>
      </c>
      <c r="C8" s="221"/>
      <c r="D8" s="221"/>
      <c r="E8" s="221"/>
      <c r="F8" s="222" t="s">
        <v>479</v>
      </c>
      <c r="G8" s="221"/>
      <c r="H8" s="221" t="s">
        <v>493</v>
      </c>
      <c r="I8" s="221"/>
      <c r="J8" s="221"/>
      <c r="K8" s="222" t="s">
        <v>535</v>
      </c>
      <c r="L8" s="221" t="s">
        <v>543</v>
      </c>
      <c r="M8" s="221" t="s">
        <v>548</v>
      </c>
      <c r="N8" s="221"/>
      <c r="O8" s="221"/>
      <c r="P8" s="221" t="s">
        <v>567</v>
      </c>
      <c r="Q8" s="221"/>
      <c r="R8" s="221"/>
      <c r="S8" s="365" t="s">
        <v>838</v>
      </c>
      <c r="T8" s="221"/>
      <c r="U8" s="221"/>
      <c r="V8" s="221"/>
      <c r="W8" s="221"/>
      <c r="X8" s="221"/>
      <c r="Y8" s="221"/>
      <c r="Z8" s="221"/>
      <c r="AA8" s="221"/>
      <c r="AB8" s="221"/>
      <c r="AC8" s="221"/>
      <c r="AD8" s="221"/>
      <c r="AE8" s="221"/>
      <c r="AF8" s="221"/>
      <c r="AG8" s="221"/>
      <c r="AH8" s="221"/>
      <c r="AI8" s="221"/>
      <c r="AJ8" s="221"/>
      <c r="AK8" s="221"/>
      <c r="AL8" s="221"/>
      <c r="AM8" s="221"/>
      <c r="AN8" s="221"/>
      <c r="AO8" s="221"/>
      <c r="AP8" s="221"/>
      <c r="AQ8" s="221"/>
      <c r="AR8" s="221"/>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row>
    <row r="9" spans="1:219" s="205" customFormat="1" ht="12.75" customHeight="1">
      <c r="A9" s="204" t="s">
        <v>158</v>
      </c>
      <c r="B9" s="219" t="s">
        <v>328</v>
      </c>
      <c r="C9" s="219" t="s">
        <v>582</v>
      </c>
      <c r="D9" s="220" t="s">
        <v>511</v>
      </c>
      <c r="E9" s="220" t="s">
        <v>589</v>
      </c>
      <c r="F9" s="219" t="s">
        <v>582</v>
      </c>
      <c r="G9" s="219" t="s">
        <v>494</v>
      </c>
      <c r="H9" s="219" t="s">
        <v>495</v>
      </c>
      <c r="I9" s="223" t="s">
        <v>511</v>
      </c>
      <c r="J9" s="219" t="s">
        <v>529</v>
      </c>
      <c r="K9" s="220" t="s">
        <v>589</v>
      </c>
      <c r="L9" s="220" t="s">
        <v>511</v>
      </c>
      <c r="M9" s="220" t="s">
        <v>511</v>
      </c>
      <c r="N9" s="219" t="s">
        <v>511</v>
      </c>
      <c r="O9" s="219" t="s">
        <v>582</v>
      </c>
      <c r="P9" s="219" t="s">
        <v>582</v>
      </c>
      <c r="Q9" s="219" t="s">
        <v>511</v>
      </c>
      <c r="R9" s="219" t="s">
        <v>582</v>
      </c>
      <c r="S9" s="364" t="s">
        <v>582</v>
      </c>
      <c r="T9" s="219"/>
      <c r="U9" s="219"/>
      <c r="V9" s="219"/>
      <c r="W9" s="219"/>
      <c r="X9" s="219"/>
      <c r="Y9" s="219"/>
      <c r="Z9" s="219"/>
      <c r="AA9" s="219"/>
      <c r="AB9" s="219"/>
      <c r="AC9" s="219"/>
      <c r="AD9" s="219"/>
      <c r="AE9" s="219"/>
      <c r="AF9" s="219"/>
      <c r="AG9" s="219"/>
      <c r="AH9" s="219"/>
      <c r="AI9" s="219"/>
      <c r="AJ9" s="219"/>
      <c r="AK9" s="219"/>
      <c r="AL9" s="219"/>
      <c r="AM9" s="219"/>
      <c r="AN9" s="219"/>
      <c r="AO9" s="219"/>
      <c r="AP9" s="219"/>
      <c r="AQ9" s="219"/>
      <c r="AR9" s="219"/>
      <c r="BH9" s="206"/>
      <c r="GL9" s="207"/>
      <c r="GM9" s="207"/>
      <c r="GN9" s="207"/>
      <c r="GO9" s="207"/>
      <c r="GP9" s="207"/>
      <c r="GQ9" s="207"/>
      <c r="GR9" s="207"/>
      <c r="GS9" s="207"/>
      <c r="GT9" s="207"/>
      <c r="GU9" s="207"/>
      <c r="GV9" s="207"/>
      <c r="GW9" s="207"/>
      <c r="GX9" s="207"/>
      <c r="GY9" s="207"/>
      <c r="GZ9" s="207"/>
      <c r="HA9" s="207"/>
      <c r="HB9" s="207"/>
      <c r="HC9" s="207"/>
      <c r="HD9" s="207"/>
      <c r="HE9" s="207"/>
      <c r="HF9" s="207"/>
      <c r="HG9" s="207"/>
      <c r="HH9" s="207"/>
      <c r="HI9" s="207"/>
      <c r="HJ9" s="207"/>
      <c r="HK9" s="207"/>
    </row>
    <row r="10" spans="1:219" s="205" customFormat="1" ht="12.75" customHeight="1">
      <c r="A10" s="204" t="s">
        <v>159</v>
      </c>
      <c r="B10" s="219"/>
      <c r="C10" s="219" t="s">
        <v>516</v>
      </c>
      <c r="D10" s="219"/>
      <c r="E10" s="219"/>
      <c r="F10" s="219" t="s">
        <v>477</v>
      </c>
      <c r="G10" s="219" t="s">
        <v>494</v>
      </c>
      <c r="H10" s="219" t="s">
        <v>496</v>
      </c>
      <c r="I10" s="220" t="s">
        <v>516</v>
      </c>
      <c r="J10" s="219"/>
      <c r="K10" s="219"/>
      <c r="L10" s="219" t="s">
        <v>544</v>
      </c>
      <c r="M10" s="219" t="s">
        <v>549</v>
      </c>
      <c r="N10" s="219"/>
      <c r="O10" s="219"/>
      <c r="P10" s="219" t="s">
        <v>566</v>
      </c>
      <c r="Q10" s="219" t="s">
        <v>579</v>
      </c>
      <c r="R10" s="219" t="s">
        <v>583</v>
      </c>
      <c r="S10" s="364" t="s">
        <v>839</v>
      </c>
      <c r="T10" s="219"/>
      <c r="U10" s="219"/>
      <c r="V10" s="219"/>
      <c r="W10" s="219"/>
      <c r="X10" s="219"/>
      <c r="Y10" s="219"/>
      <c r="Z10" s="219"/>
      <c r="AA10" s="219"/>
      <c r="AB10" s="219"/>
      <c r="AC10" s="219"/>
      <c r="AD10" s="219"/>
      <c r="AE10" s="219"/>
      <c r="AF10" s="219"/>
      <c r="AG10" s="219"/>
      <c r="AH10" s="219"/>
      <c r="AI10" s="219"/>
      <c r="AJ10" s="219"/>
      <c r="AK10" s="219"/>
      <c r="AL10" s="219"/>
      <c r="AM10" s="219"/>
      <c r="AN10" s="219"/>
      <c r="AO10" s="219"/>
      <c r="AP10" s="219"/>
      <c r="AQ10" s="219"/>
      <c r="AR10" s="219"/>
      <c r="GL10" s="207"/>
      <c r="GM10" s="207"/>
      <c r="GN10" s="207"/>
      <c r="GO10" s="207"/>
      <c r="GP10" s="207"/>
      <c r="GQ10" s="207"/>
      <c r="GR10" s="207"/>
      <c r="GS10" s="207"/>
      <c r="GT10" s="207"/>
      <c r="GU10" s="207"/>
      <c r="GV10" s="207"/>
      <c r="GW10" s="207"/>
      <c r="GX10" s="207"/>
      <c r="GY10" s="207"/>
      <c r="GZ10" s="207"/>
      <c r="HA10" s="207"/>
      <c r="HB10" s="207"/>
      <c r="HC10" s="207"/>
      <c r="HD10" s="207"/>
      <c r="HE10" s="207"/>
      <c r="HF10" s="207"/>
      <c r="HG10" s="207"/>
      <c r="HH10" s="207"/>
      <c r="HI10" s="207"/>
      <c r="HJ10" s="207"/>
      <c r="HK10" s="207"/>
    </row>
    <row r="11" spans="1:219" s="16" customFormat="1" ht="12.75" customHeight="1">
      <c r="A11" s="12" t="s">
        <v>160</v>
      </c>
      <c r="B11" s="221"/>
      <c r="C11" s="221"/>
      <c r="D11" s="221"/>
      <c r="E11" s="221"/>
      <c r="F11" s="221" t="s">
        <v>480</v>
      </c>
      <c r="G11" s="221" t="s">
        <v>497</v>
      </c>
      <c r="H11" s="221"/>
      <c r="I11" s="221"/>
      <c r="J11" s="221"/>
      <c r="K11" s="222" t="s">
        <v>536</v>
      </c>
      <c r="L11" s="221"/>
      <c r="M11" s="221"/>
      <c r="N11" s="221"/>
      <c r="O11" s="221"/>
      <c r="P11" s="222" t="s">
        <v>568</v>
      </c>
      <c r="Q11" s="221"/>
      <c r="R11" s="221"/>
      <c r="S11" s="365" t="s">
        <v>840</v>
      </c>
      <c r="T11" s="221"/>
      <c r="U11" s="221"/>
      <c r="V11" s="221"/>
      <c r="W11" s="221"/>
      <c r="X11" s="221"/>
      <c r="Y11" s="221"/>
      <c r="Z11" s="221"/>
      <c r="AA11" s="221"/>
      <c r="AB11" s="221"/>
      <c r="AC11" s="221"/>
      <c r="AD11" s="221"/>
      <c r="AE11" s="221"/>
      <c r="AF11" s="221"/>
      <c r="AG11" s="221"/>
      <c r="AH11" s="221"/>
      <c r="AI11" s="221"/>
      <c r="AJ11" s="221"/>
      <c r="AK11" s="221"/>
      <c r="AL11" s="221"/>
      <c r="AM11" s="221"/>
      <c r="AN11" s="221"/>
      <c r="AO11" s="221"/>
      <c r="AP11" s="221"/>
      <c r="AQ11" s="221"/>
      <c r="AR11" s="221"/>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row>
    <row r="12" spans="1:219" s="16" customFormat="1" ht="24.75" customHeight="1">
      <c r="A12" s="12" t="s">
        <v>161</v>
      </c>
      <c r="B12" s="221"/>
      <c r="C12" s="221"/>
      <c r="D12" s="221"/>
      <c r="E12" s="221"/>
      <c r="F12" s="221" t="s">
        <v>481</v>
      </c>
      <c r="G12" s="221"/>
      <c r="H12" s="221"/>
      <c r="I12" s="221"/>
      <c r="J12" s="221"/>
      <c r="K12" s="222" t="s">
        <v>537</v>
      </c>
      <c r="L12" s="221"/>
      <c r="M12" s="221"/>
      <c r="N12" s="221"/>
      <c r="O12" s="221"/>
      <c r="P12" s="222" t="s">
        <v>569</v>
      </c>
      <c r="Q12" s="221"/>
      <c r="R12" s="221"/>
      <c r="S12" s="365" t="s">
        <v>841</v>
      </c>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221"/>
      <c r="AQ12" s="221"/>
      <c r="AR12" s="221"/>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row>
    <row r="13" spans="1:219" s="205" customFormat="1" ht="12.75" customHeight="1">
      <c r="A13" s="204" t="s">
        <v>162</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GL13" s="207"/>
      <c r="GM13" s="207"/>
      <c r="GN13" s="207"/>
      <c r="GO13" s="207"/>
      <c r="GP13" s="207"/>
      <c r="GQ13" s="207"/>
      <c r="GR13" s="207"/>
      <c r="GS13" s="207"/>
      <c r="GT13" s="207"/>
      <c r="GU13" s="207"/>
      <c r="GV13" s="207"/>
      <c r="GW13" s="207"/>
      <c r="GX13" s="207"/>
      <c r="GY13" s="207"/>
      <c r="GZ13" s="207"/>
      <c r="HA13" s="207"/>
      <c r="HB13" s="207"/>
      <c r="HC13" s="207"/>
      <c r="HD13" s="207"/>
      <c r="HE13" s="207"/>
      <c r="HF13" s="207"/>
      <c r="HG13" s="207"/>
      <c r="HH13" s="207"/>
      <c r="HI13" s="207"/>
      <c r="HJ13" s="207"/>
      <c r="HK13" s="207"/>
    </row>
    <row r="14" spans="1:219" s="205" customFormat="1" ht="12.75" customHeight="1">
      <c r="A14" s="204" t="s">
        <v>163</v>
      </c>
      <c r="B14" s="219"/>
      <c r="C14" s="219"/>
      <c r="D14" s="219"/>
      <c r="E14" s="219"/>
      <c r="F14" s="220"/>
      <c r="G14" s="219"/>
      <c r="H14" s="219"/>
      <c r="I14" s="219"/>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19"/>
      <c r="AM14" s="219"/>
      <c r="AN14" s="219"/>
      <c r="AO14" s="219"/>
      <c r="AP14" s="219"/>
      <c r="AQ14" s="219"/>
      <c r="AR14" s="219"/>
      <c r="GL14" s="207"/>
      <c r="GM14" s="207"/>
      <c r="GN14" s="207"/>
      <c r="GO14" s="207"/>
      <c r="GP14" s="207"/>
      <c r="GQ14" s="207"/>
      <c r="GR14" s="207"/>
      <c r="GS14" s="207"/>
      <c r="GT14" s="207"/>
      <c r="GU14" s="207"/>
      <c r="GV14" s="207"/>
      <c r="GW14" s="207"/>
      <c r="GX14" s="207"/>
      <c r="GY14" s="207"/>
      <c r="GZ14" s="207"/>
      <c r="HA14" s="207"/>
      <c r="HB14" s="207"/>
      <c r="HC14" s="207"/>
      <c r="HD14" s="207"/>
      <c r="HE14" s="207"/>
      <c r="HF14" s="207"/>
      <c r="HG14" s="207"/>
      <c r="HH14" s="207"/>
      <c r="HI14" s="207"/>
      <c r="HJ14" s="207"/>
      <c r="HK14" s="207"/>
    </row>
    <row r="15" spans="1:219" s="14" customFormat="1" ht="12.75" customHeight="1">
      <c r="A15" s="12" t="s">
        <v>164</v>
      </c>
      <c r="B15" s="216"/>
      <c r="C15" s="216"/>
      <c r="D15" s="216"/>
      <c r="E15" s="216"/>
      <c r="F15" s="216"/>
      <c r="G15" s="216" t="s">
        <v>498</v>
      </c>
      <c r="H15" s="216"/>
      <c r="I15" s="216"/>
      <c r="J15" s="216"/>
      <c r="K15" s="216"/>
      <c r="L15" s="216"/>
      <c r="M15" s="216"/>
      <c r="N15" s="216"/>
      <c r="O15" s="216"/>
      <c r="P15" s="216"/>
      <c r="Q15" s="216"/>
      <c r="R15" s="216"/>
      <c r="S15" s="216"/>
      <c r="T15" s="216"/>
      <c r="U15" s="216"/>
      <c r="V15" s="216"/>
      <c r="W15" s="216"/>
      <c r="X15" s="216"/>
      <c r="Y15" s="216"/>
      <c r="Z15" s="216"/>
      <c r="AA15" s="216"/>
      <c r="AB15" s="216"/>
      <c r="AC15" s="216"/>
      <c r="AD15" s="216"/>
      <c r="AE15" s="216"/>
      <c r="AF15" s="216"/>
      <c r="AG15" s="216"/>
      <c r="AH15" s="216"/>
      <c r="AI15" s="216"/>
      <c r="AJ15" s="216"/>
      <c r="AK15" s="216"/>
      <c r="AL15" s="216"/>
      <c r="AM15" s="216"/>
      <c r="AN15" s="216"/>
      <c r="AO15" s="216"/>
      <c r="AP15" s="216"/>
      <c r="AQ15" s="216"/>
      <c r="AR15" s="216"/>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row>
    <row r="16" spans="1:219" s="16" customFormat="1" ht="12.75" customHeight="1">
      <c r="A16" s="12" t="s">
        <v>165</v>
      </c>
      <c r="B16" s="221"/>
      <c r="C16" s="221"/>
      <c r="D16" s="221"/>
      <c r="E16" s="221"/>
      <c r="F16" s="221"/>
      <c r="G16" s="221" t="s">
        <v>499</v>
      </c>
      <c r="H16" s="221"/>
      <c r="I16" s="221"/>
      <c r="J16" s="221"/>
      <c r="K16" s="221"/>
      <c r="L16" s="221"/>
      <c r="M16" s="221" t="s">
        <v>550</v>
      </c>
      <c r="N16" s="221"/>
      <c r="O16" s="221"/>
      <c r="P16" s="221"/>
      <c r="Q16" s="221"/>
      <c r="R16" s="221"/>
      <c r="S16" s="221"/>
      <c r="T16" s="221"/>
      <c r="U16" s="221"/>
      <c r="V16" s="221"/>
      <c r="W16" s="221"/>
      <c r="X16" s="221"/>
      <c r="Y16" s="221"/>
      <c r="Z16" s="221"/>
      <c r="AA16" s="221"/>
      <c r="AB16" s="221"/>
      <c r="AC16" s="221"/>
      <c r="AD16" s="221"/>
      <c r="AE16" s="221"/>
      <c r="AF16" s="221"/>
      <c r="AG16" s="221"/>
      <c r="AH16" s="221"/>
      <c r="AI16" s="221"/>
      <c r="AJ16" s="221"/>
      <c r="AK16" s="221"/>
      <c r="AL16" s="221"/>
      <c r="AM16" s="221"/>
      <c r="AN16" s="221"/>
      <c r="AO16" s="221"/>
      <c r="AP16" s="221"/>
      <c r="AQ16" s="221"/>
      <c r="AR16" s="221"/>
      <c r="CL16" s="14"/>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row>
    <row r="17" spans="1:219" s="209" customFormat="1" ht="12.75" customHeight="1">
      <c r="A17" s="204" t="s">
        <v>166</v>
      </c>
      <c r="B17" s="224"/>
      <c r="C17" s="224"/>
      <c r="D17" s="224"/>
      <c r="E17" s="224"/>
      <c r="F17" s="224"/>
      <c r="G17" s="224"/>
      <c r="H17" s="224"/>
      <c r="I17" s="224"/>
      <c r="J17" s="224"/>
      <c r="K17" s="224"/>
      <c r="L17" s="224"/>
      <c r="M17" s="224" t="s">
        <v>551</v>
      </c>
      <c r="N17" s="224"/>
      <c r="O17" s="224"/>
      <c r="P17" s="224"/>
      <c r="Q17" s="224"/>
      <c r="R17" s="224"/>
      <c r="S17" s="224"/>
      <c r="T17" s="224"/>
      <c r="U17" s="224"/>
      <c r="V17" s="224"/>
      <c r="W17" s="224"/>
      <c r="X17" s="224"/>
      <c r="Y17" s="224"/>
      <c r="Z17" s="224"/>
      <c r="AA17" s="224"/>
      <c r="AB17" s="224"/>
      <c r="AC17" s="224"/>
      <c r="AD17" s="224"/>
      <c r="AE17" s="224"/>
      <c r="AF17" s="224"/>
      <c r="AG17" s="224"/>
      <c r="AH17" s="224"/>
      <c r="AI17" s="224"/>
      <c r="AJ17" s="224"/>
      <c r="AK17" s="224"/>
      <c r="AL17" s="224"/>
      <c r="AM17" s="224"/>
      <c r="AN17" s="224"/>
      <c r="AO17" s="224"/>
      <c r="AP17" s="224"/>
      <c r="AQ17" s="224"/>
      <c r="AR17" s="224"/>
      <c r="GL17" s="210"/>
      <c r="GM17" s="210"/>
      <c r="GN17" s="210"/>
      <c r="GO17" s="210"/>
      <c r="GP17" s="210"/>
      <c r="GQ17" s="210"/>
      <c r="GR17" s="210"/>
      <c r="GS17" s="210"/>
      <c r="GT17" s="210"/>
      <c r="GU17" s="210"/>
      <c r="GV17" s="210"/>
      <c r="GW17" s="210"/>
      <c r="GX17" s="210"/>
      <c r="GY17" s="210"/>
      <c r="GZ17" s="210"/>
      <c r="HA17" s="210"/>
      <c r="HB17" s="210"/>
      <c r="HC17" s="210"/>
      <c r="HD17" s="210"/>
      <c r="HE17" s="210"/>
      <c r="HF17" s="210"/>
      <c r="HG17" s="210"/>
      <c r="HH17" s="210"/>
      <c r="HI17" s="210"/>
      <c r="HJ17" s="210"/>
      <c r="HK17" s="210"/>
    </row>
    <row r="18" spans="1:219" s="209" customFormat="1" ht="12.75" customHeight="1">
      <c r="A18" s="204" t="s">
        <v>171</v>
      </c>
      <c r="B18" s="224"/>
      <c r="C18" s="224"/>
      <c r="D18" s="224"/>
      <c r="E18" s="224"/>
      <c r="F18" s="224" t="s">
        <v>482</v>
      </c>
      <c r="G18" s="224"/>
      <c r="H18" s="224"/>
      <c r="I18" s="224"/>
      <c r="J18" s="224"/>
      <c r="K18" s="224"/>
      <c r="L18" s="224"/>
      <c r="M18" s="224"/>
      <c r="N18" s="224"/>
      <c r="O18" s="224"/>
      <c r="P18" s="225" t="s">
        <v>570</v>
      </c>
      <c r="Q18" s="224"/>
      <c r="R18" s="224"/>
      <c r="S18" s="366" t="s">
        <v>842</v>
      </c>
      <c r="T18" s="224"/>
      <c r="U18" s="224"/>
      <c r="V18" s="224"/>
      <c r="W18" s="224"/>
      <c r="X18" s="224"/>
      <c r="Y18" s="224"/>
      <c r="Z18" s="224"/>
      <c r="AA18" s="224"/>
      <c r="AB18" s="224"/>
      <c r="AC18" s="224"/>
      <c r="AD18" s="224"/>
      <c r="AE18" s="224"/>
      <c r="AF18" s="224"/>
      <c r="AG18" s="224"/>
      <c r="AH18" s="224"/>
      <c r="AI18" s="224"/>
      <c r="AJ18" s="224"/>
      <c r="AK18" s="224"/>
      <c r="AL18" s="224"/>
      <c r="AM18" s="224"/>
      <c r="AN18" s="224"/>
      <c r="AO18" s="224"/>
      <c r="AP18" s="224"/>
      <c r="AQ18" s="224"/>
      <c r="AR18" s="224"/>
      <c r="GL18" s="210"/>
      <c r="GM18" s="210"/>
      <c r="GN18" s="210"/>
      <c r="GO18" s="210"/>
      <c r="GP18" s="210"/>
      <c r="GQ18" s="210"/>
      <c r="GR18" s="210"/>
      <c r="GS18" s="210"/>
      <c r="GT18" s="210"/>
      <c r="GU18" s="210"/>
      <c r="GV18" s="210"/>
      <c r="GW18" s="210"/>
      <c r="GX18" s="210"/>
      <c r="GY18" s="210"/>
      <c r="GZ18" s="210"/>
      <c r="HA18" s="210"/>
      <c r="HB18" s="210"/>
      <c r="HC18" s="210"/>
      <c r="HD18" s="210"/>
      <c r="HE18" s="210"/>
      <c r="HF18" s="210"/>
      <c r="HG18" s="210"/>
      <c r="HH18" s="210"/>
      <c r="HI18" s="210"/>
      <c r="HJ18" s="210"/>
      <c r="HK18" s="210"/>
    </row>
    <row r="19" spans="1:219" s="14" customFormat="1" ht="12.75" customHeight="1">
      <c r="A19" s="12" t="s">
        <v>167</v>
      </c>
      <c r="B19" s="216"/>
      <c r="C19" s="216"/>
      <c r="D19" s="216"/>
      <c r="E19" s="216"/>
      <c r="F19" s="216"/>
      <c r="G19" s="216"/>
      <c r="H19" s="216"/>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row>
    <row r="20" spans="1:219" s="201" customFormat="1" ht="12.75" customHeight="1">
      <c r="A20" s="199" t="s">
        <v>168</v>
      </c>
      <c r="B20" s="226"/>
      <c r="C20" t="s">
        <v>770</v>
      </c>
      <c r="D20" t="s">
        <v>771</v>
      </c>
      <c r="E20" s="227" t="s">
        <v>776</v>
      </c>
      <c r="F20" t="s">
        <v>772</v>
      </c>
      <c r="G20" s="216" t="s">
        <v>776</v>
      </c>
      <c r="H20" s="226"/>
      <c r="I20" s="47" t="s">
        <v>782</v>
      </c>
      <c r="J20" t="s">
        <v>773</v>
      </c>
      <c r="K20" s="216" t="s">
        <v>776</v>
      </c>
      <c r="L20" t="s">
        <v>784</v>
      </c>
      <c r="M20" t="s">
        <v>785</v>
      </c>
      <c r="N20" s="47" t="s">
        <v>786</v>
      </c>
      <c r="O20" t="s">
        <v>774</v>
      </c>
      <c r="P20" t="s">
        <v>775</v>
      </c>
      <c r="Q20" s="47" t="s">
        <v>787</v>
      </c>
      <c r="R20" s="47" t="s">
        <v>788</v>
      </c>
      <c r="S20" t="s">
        <v>828</v>
      </c>
      <c r="T20" s="216"/>
      <c r="U20" s="226"/>
      <c r="V20" s="226"/>
      <c r="W20" s="226"/>
      <c r="X20" s="226"/>
      <c r="Y20" s="226"/>
      <c r="Z20" s="226"/>
      <c r="AA20" s="226"/>
      <c r="AB20" s="226"/>
      <c r="AC20" s="226"/>
      <c r="AD20" s="216"/>
      <c r="AE20" s="226"/>
      <c r="AF20" s="226"/>
      <c r="AG20" s="226"/>
      <c r="AH20" s="226"/>
      <c r="AI20" s="226"/>
      <c r="AJ20" s="226"/>
      <c r="AK20" s="226"/>
      <c r="AL20" s="226"/>
      <c r="AM20" s="226"/>
      <c r="AN20" s="226"/>
      <c r="AO20" s="226"/>
      <c r="AP20" s="226"/>
      <c r="AQ20" s="226"/>
      <c r="AR20" s="226"/>
      <c r="AS20" s="200"/>
      <c r="AT20" s="200"/>
      <c r="AU20" s="200"/>
      <c r="AV20" s="200"/>
      <c r="AW20" s="200"/>
      <c r="AX20" s="200"/>
      <c r="AY20" s="200"/>
      <c r="AZ20" s="200"/>
      <c r="BA20" s="200"/>
      <c r="BB20" s="200"/>
      <c r="BC20" s="14"/>
      <c r="BD20" s="200"/>
      <c r="BE20" s="200"/>
      <c r="BF20" s="200"/>
      <c r="BG20" s="200"/>
      <c r="BH20" s="200"/>
      <c r="BI20" s="200"/>
      <c r="BJ20" s="200"/>
      <c r="BK20" s="200"/>
      <c r="BL20" s="200"/>
      <c r="BM20" s="200"/>
      <c r="BN20" s="200"/>
      <c r="BO20" s="200"/>
      <c r="BP20" s="200"/>
      <c r="BQ20" s="200"/>
      <c r="BR20" s="200"/>
      <c r="BS20" s="200"/>
      <c r="BT20" s="200"/>
      <c r="BU20" s="200"/>
      <c r="BV20" s="200"/>
      <c r="BW20" s="200"/>
      <c r="BX20" s="200"/>
      <c r="BY20" s="14"/>
      <c r="BZ20" s="14"/>
      <c r="CA20" s="14"/>
      <c r="CB20" s="14"/>
      <c r="CC20" s="14"/>
      <c r="CD20" s="14"/>
      <c r="CE20" s="14"/>
      <c r="CF20" s="14"/>
      <c r="CG20" s="200"/>
      <c r="CH20" s="200"/>
      <c r="CI20" s="200"/>
      <c r="CJ20" s="200"/>
      <c r="CK20" s="200"/>
      <c r="CL20" s="200"/>
      <c r="CM20" s="200"/>
      <c r="CN20" s="200"/>
      <c r="CO20" s="200"/>
      <c r="CP20" s="200"/>
      <c r="CQ20" s="200"/>
      <c r="CR20" s="200"/>
      <c r="CS20" s="14"/>
      <c r="CT20" s="200"/>
      <c r="CU20" s="200"/>
      <c r="CV20" s="14"/>
      <c r="CW20" s="200"/>
      <c r="CX20" s="200"/>
      <c r="CY20" s="200"/>
      <c r="CZ20" s="200"/>
      <c r="DA20" s="200"/>
      <c r="DB20" s="200"/>
      <c r="DC20" s="200"/>
      <c r="DD20" s="200"/>
      <c r="DE20" s="14"/>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14"/>
      <c r="EE20" s="14"/>
      <c r="EF20" s="14"/>
      <c r="EG20" s="14"/>
      <c r="EH20" s="14"/>
      <c r="EI20" s="14"/>
      <c r="EJ20" s="14"/>
      <c r="EK20" s="14"/>
      <c r="EL20" s="14"/>
      <c r="EM20" s="14"/>
      <c r="EN20" s="14"/>
      <c r="EO20" s="14"/>
      <c r="EP20" s="14"/>
      <c r="EQ20" s="14"/>
      <c r="ER20" s="14"/>
      <c r="ET20" s="14"/>
      <c r="EU20" s="14"/>
      <c r="EV20" s="14"/>
      <c r="EW20" s="14"/>
      <c r="EX20" s="14"/>
      <c r="EY20" s="14"/>
      <c r="EZ20" s="14"/>
      <c r="FA20" s="14"/>
      <c r="FB20" s="14"/>
      <c r="FC20" s="14"/>
      <c r="FD20" s="14"/>
      <c r="FE20" s="14"/>
      <c r="FF20" s="14"/>
      <c r="FG20" s="14"/>
      <c r="FH20" s="14"/>
      <c r="FI20" s="14"/>
      <c r="FJ20" s="14"/>
      <c r="FK20" s="14"/>
      <c r="FL20" s="14"/>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202"/>
      <c r="GM20" s="15"/>
      <c r="GN20" s="202"/>
      <c r="GO20" s="15"/>
      <c r="GP20" s="15"/>
      <c r="GQ20" s="15"/>
      <c r="GR20" s="202"/>
      <c r="GS20" s="202"/>
      <c r="GT20" s="202"/>
      <c r="GU20" s="15"/>
      <c r="GV20" s="202"/>
      <c r="GW20" s="202"/>
      <c r="GX20" s="202"/>
      <c r="GY20" s="203"/>
      <c r="GZ20" s="202"/>
      <c r="HA20" s="202"/>
      <c r="HB20" s="202"/>
      <c r="HC20" s="202"/>
      <c r="HD20" s="202"/>
      <c r="HE20" s="202"/>
      <c r="HF20" s="202"/>
      <c r="HG20" s="202"/>
      <c r="HH20" s="202"/>
      <c r="HI20" s="203"/>
      <c r="HJ20" s="202"/>
      <c r="HK20" s="202"/>
    </row>
    <row r="21" spans="1:219" s="205" customFormat="1" ht="12.75" customHeight="1">
      <c r="A21" s="204" t="s">
        <v>85</v>
      </c>
      <c r="B21" s="219" t="s">
        <v>144</v>
      </c>
      <c r="C21" s="219" t="s">
        <v>141</v>
      </c>
      <c r="D21" s="219" t="s">
        <v>141</v>
      </c>
      <c r="E21" s="219" t="s">
        <v>141</v>
      </c>
      <c r="F21" s="219" t="s">
        <v>143</v>
      </c>
      <c r="G21" s="219" t="s">
        <v>141</v>
      </c>
      <c r="H21" s="219" t="s">
        <v>141</v>
      </c>
      <c r="I21" s="219" t="s">
        <v>141</v>
      </c>
      <c r="J21" s="219" t="s">
        <v>144</v>
      </c>
      <c r="K21" s="219" t="s">
        <v>141</v>
      </c>
      <c r="L21" s="219" t="s">
        <v>141</v>
      </c>
      <c r="M21" s="219" t="s">
        <v>143</v>
      </c>
      <c r="N21" s="219" t="s">
        <v>141</v>
      </c>
      <c r="O21" s="219" t="s">
        <v>140</v>
      </c>
      <c r="P21" s="219" t="s">
        <v>143</v>
      </c>
      <c r="Q21" s="219" t="s">
        <v>144</v>
      </c>
      <c r="R21" s="219" t="s">
        <v>141</v>
      </c>
      <c r="S21" s="219" t="s">
        <v>141</v>
      </c>
      <c r="T21" s="219"/>
      <c r="U21" s="219"/>
      <c r="V21" s="219"/>
      <c r="W21" s="219"/>
      <c r="X21" s="219"/>
      <c r="Y21" s="219"/>
      <c r="Z21" s="219"/>
      <c r="AA21" s="219"/>
      <c r="AB21" s="219"/>
      <c r="AC21" s="219"/>
      <c r="AD21" s="219"/>
      <c r="AE21" s="219"/>
      <c r="AF21" s="219"/>
      <c r="AG21" s="219"/>
      <c r="AH21" s="219"/>
      <c r="AI21" s="219"/>
      <c r="AJ21" s="219"/>
      <c r="AK21" s="219"/>
      <c r="AL21" s="219"/>
      <c r="AM21" s="219"/>
      <c r="AN21" s="219"/>
      <c r="AO21" s="219"/>
      <c r="AP21" s="219"/>
      <c r="AQ21" s="219"/>
      <c r="AR21" s="219"/>
      <c r="GL21" s="207"/>
      <c r="GM21" s="207"/>
      <c r="GN21" s="207"/>
      <c r="GO21" s="207"/>
      <c r="GP21" s="207"/>
      <c r="GQ21" s="207"/>
      <c r="GR21" s="207"/>
      <c r="GS21" s="207"/>
      <c r="GT21" s="207"/>
      <c r="GU21" s="207"/>
      <c r="GV21" s="207"/>
      <c r="GW21" s="207"/>
      <c r="GX21" s="207"/>
      <c r="GY21" s="207"/>
      <c r="GZ21" s="207"/>
      <c r="HA21" s="207"/>
      <c r="HB21" s="207"/>
      <c r="HC21" s="207"/>
      <c r="HD21" s="207"/>
      <c r="HE21" s="207"/>
      <c r="HF21" s="207"/>
      <c r="HG21" s="207"/>
      <c r="HH21" s="207"/>
      <c r="HI21" s="207"/>
      <c r="HJ21" s="207"/>
      <c r="HK21" s="207"/>
    </row>
    <row r="22" spans="1:219" s="209" customFormat="1" ht="25.5" customHeight="1">
      <c r="A22" s="204" t="s">
        <v>80</v>
      </c>
      <c r="B22" s="224" t="s">
        <v>517</v>
      </c>
      <c r="C22" s="219">
        <v>2006</v>
      </c>
      <c r="D22" s="224" t="s">
        <v>182</v>
      </c>
      <c r="E22" s="220" t="s">
        <v>521</v>
      </c>
      <c r="F22" s="224" t="s">
        <v>181</v>
      </c>
      <c r="G22" s="224" t="s">
        <v>181</v>
      </c>
      <c r="H22" s="224" t="s">
        <v>492</v>
      </c>
      <c r="I22" s="228" t="s">
        <v>181</v>
      </c>
      <c r="J22" s="224" t="s">
        <v>530</v>
      </c>
      <c r="K22" s="228" t="s">
        <v>538</v>
      </c>
      <c r="L22" s="224" t="s">
        <v>545</v>
      </c>
      <c r="M22" s="224" t="s">
        <v>182</v>
      </c>
      <c r="N22" s="224" t="s">
        <v>556</v>
      </c>
      <c r="O22" s="224" t="s">
        <v>563</v>
      </c>
      <c r="P22" s="228" t="s">
        <v>478</v>
      </c>
      <c r="Q22" s="224" t="s">
        <v>580</v>
      </c>
      <c r="R22" s="224" t="s">
        <v>580</v>
      </c>
      <c r="S22" s="366" t="s">
        <v>559</v>
      </c>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GL22" s="210"/>
      <c r="GM22" s="210"/>
      <c r="GN22" s="210"/>
      <c r="GO22" s="210"/>
      <c r="GP22" s="210"/>
      <c r="GQ22" s="210"/>
      <c r="GR22" s="210"/>
      <c r="GS22" s="210"/>
      <c r="GT22" s="210"/>
      <c r="GU22" s="210"/>
      <c r="GV22" s="210"/>
      <c r="GW22" s="210"/>
      <c r="GX22" s="210"/>
      <c r="GY22" s="210"/>
      <c r="GZ22" s="210"/>
      <c r="HA22" s="210"/>
      <c r="HB22" s="210"/>
      <c r="HC22" s="210"/>
      <c r="HD22" s="210"/>
      <c r="HE22" s="210"/>
      <c r="HF22" s="210"/>
      <c r="HG22" s="210"/>
      <c r="HH22" s="210"/>
      <c r="HI22" s="210"/>
      <c r="HJ22" s="210"/>
      <c r="HK22" s="210"/>
    </row>
    <row r="23" spans="1:219" s="16" customFormat="1" ht="25.5" customHeight="1">
      <c r="A23" s="12" t="s">
        <v>81</v>
      </c>
      <c r="B23" s="221" t="s">
        <v>512</v>
      </c>
      <c r="C23" s="216" t="s">
        <v>512</v>
      </c>
      <c r="D23" s="221"/>
      <c r="E23" s="217" t="s">
        <v>522</v>
      </c>
      <c r="F23" s="221" t="s">
        <v>185</v>
      </c>
      <c r="G23" s="221" t="s">
        <v>185</v>
      </c>
      <c r="H23" s="221" t="s">
        <v>500</v>
      </c>
      <c r="I23" s="216" t="s">
        <v>512</v>
      </c>
      <c r="J23" s="221" t="s">
        <v>435</v>
      </c>
      <c r="K23" s="217" t="s">
        <v>539</v>
      </c>
      <c r="L23" s="221" t="s">
        <v>435</v>
      </c>
      <c r="M23" s="221" t="s">
        <v>435</v>
      </c>
      <c r="N23" s="221" t="s">
        <v>557</v>
      </c>
      <c r="O23" s="221" t="s">
        <v>185</v>
      </c>
      <c r="P23" s="221" t="s">
        <v>185</v>
      </c>
      <c r="Q23" s="221" t="s">
        <v>185</v>
      </c>
      <c r="R23" s="221" t="s">
        <v>185</v>
      </c>
      <c r="S23" s="365" t="s">
        <v>185</v>
      </c>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row>
    <row r="24" spans="1:219" s="14" customFormat="1" ht="12.75" customHeight="1">
      <c r="A24" s="12" t="s">
        <v>82</v>
      </c>
      <c r="B24" s="216"/>
      <c r="C24" s="216" t="s">
        <v>518</v>
      </c>
      <c r="D24" s="216"/>
      <c r="E24" s="217" t="s">
        <v>523</v>
      </c>
      <c r="F24" s="216" t="s">
        <v>483</v>
      </c>
      <c r="G24" s="216"/>
      <c r="H24" s="216"/>
      <c r="I24" s="217" t="s">
        <v>513</v>
      </c>
      <c r="J24" s="216" t="s">
        <v>304</v>
      </c>
      <c r="K24" s="217" t="s">
        <v>523</v>
      </c>
      <c r="L24" s="216" t="s">
        <v>546</v>
      </c>
      <c r="M24" s="216" t="s">
        <v>552</v>
      </c>
      <c r="N24" s="216" t="s">
        <v>304</v>
      </c>
      <c r="O24" s="216"/>
      <c r="P24" s="216" t="s">
        <v>483</v>
      </c>
      <c r="Q24" s="216" t="s">
        <v>291</v>
      </c>
      <c r="R24" s="216" t="s">
        <v>584</v>
      </c>
      <c r="S24" s="363" t="s">
        <v>843</v>
      </c>
      <c r="T24" s="216"/>
      <c r="U24" s="216"/>
      <c r="V24" s="216"/>
      <c r="W24" s="216"/>
      <c r="X24" s="216"/>
      <c r="Y24" s="216"/>
      <c r="Z24" s="216"/>
      <c r="AA24" s="216"/>
      <c r="AB24" s="216"/>
      <c r="AC24" s="216"/>
      <c r="AD24" s="216"/>
      <c r="AE24" s="216"/>
      <c r="AF24" s="216"/>
      <c r="AG24" s="216"/>
      <c r="AH24" s="216"/>
      <c r="AI24" s="216"/>
      <c r="AJ24" s="216"/>
      <c r="AK24" s="216"/>
      <c r="AL24" s="216"/>
      <c r="AM24" s="216"/>
      <c r="AN24" s="216"/>
      <c r="AO24" s="216"/>
      <c r="AP24" s="216"/>
      <c r="AQ24" s="216"/>
      <c r="AR24" s="216"/>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row>
    <row r="25" spans="1:219" s="205" customFormat="1" ht="91.5" customHeight="1">
      <c r="A25" s="205" t="s">
        <v>83</v>
      </c>
      <c r="B25" s="220" t="s">
        <v>798</v>
      </c>
      <c r="C25" s="327" t="s">
        <v>797</v>
      </c>
      <c r="D25" s="220" t="s">
        <v>799</v>
      </c>
      <c r="E25" s="220" t="s">
        <v>778</v>
      </c>
      <c r="F25" s="220" t="s">
        <v>484</v>
      </c>
      <c r="G25" s="220" t="s">
        <v>779</v>
      </c>
      <c r="H25" s="220" t="s">
        <v>780</v>
      </c>
      <c r="I25" s="220" t="s">
        <v>781</v>
      </c>
      <c r="J25" s="220" t="s">
        <v>800</v>
      </c>
      <c r="K25" s="220" t="s">
        <v>783</v>
      </c>
      <c r="L25" s="220" t="s">
        <v>801</v>
      </c>
      <c r="M25" s="220" t="s">
        <v>802</v>
      </c>
      <c r="N25" s="220" t="s">
        <v>558</v>
      </c>
      <c r="O25" s="220" t="s">
        <v>803</v>
      </c>
      <c r="P25" s="220" t="s">
        <v>571</v>
      </c>
      <c r="Q25" s="220" t="s">
        <v>804</v>
      </c>
      <c r="R25" s="220" t="s">
        <v>805</v>
      </c>
      <c r="S25" s="220" t="s">
        <v>829</v>
      </c>
      <c r="T25" s="220"/>
      <c r="U25" s="220"/>
      <c r="V25" s="220"/>
      <c r="W25" s="220"/>
      <c r="X25" s="220"/>
      <c r="Y25" s="229"/>
      <c r="Z25" s="229"/>
      <c r="AA25" s="229"/>
      <c r="AB25" s="220"/>
      <c r="AC25" s="220"/>
      <c r="AD25" s="220"/>
      <c r="AE25" s="229"/>
      <c r="AF25" s="220"/>
      <c r="AG25" s="229"/>
      <c r="AH25" s="229"/>
      <c r="AI25" s="229"/>
      <c r="AJ25" s="229"/>
      <c r="AK25" s="229"/>
      <c r="AL25" s="229"/>
      <c r="AM25" s="220"/>
      <c r="AN25" s="229"/>
      <c r="AO25" s="229"/>
      <c r="AP25" s="229"/>
      <c r="AQ25" s="229"/>
      <c r="AR25" s="229"/>
      <c r="AS25" s="206"/>
      <c r="AT25" s="211"/>
      <c r="AU25" s="211"/>
      <c r="AV25" s="211"/>
      <c r="AW25" s="211"/>
      <c r="AX25" s="211"/>
      <c r="AY25" s="211"/>
      <c r="AZ25" s="211"/>
      <c r="BA25" s="211"/>
      <c r="BB25" s="211"/>
      <c r="BD25" s="206"/>
      <c r="BE25" s="206"/>
      <c r="BF25" s="206"/>
      <c r="BG25" s="206"/>
      <c r="BU25" s="211"/>
      <c r="EB25" s="206"/>
      <c r="EC25" s="206"/>
      <c r="GL25" s="207"/>
      <c r="GM25" s="207"/>
      <c r="GN25" s="207"/>
      <c r="GO25" s="207"/>
      <c r="GP25" s="207"/>
      <c r="GQ25" s="207"/>
      <c r="GR25" s="207"/>
      <c r="GS25" s="207"/>
      <c r="GT25" s="208"/>
      <c r="GU25" s="207"/>
      <c r="GV25" s="207"/>
      <c r="GW25" s="207"/>
      <c r="GX25" s="207"/>
      <c r="GY25" s="207"/>
      <c r="GZ25" s="207"/>
      <c r="HA25" s="207"/>
      <c r="HB25" s="207"/>
      <c r="HC25" s="207"/>
      <c r="HD25" s="207"/>
      <c r="HE25" s="207"/>
      <c r="HF25" s="207"/>
      <c r="HG25" s="207"/>
      <c r="HH25" s="207"/>
      <c r="HI25" s="207"/>
      <c r="HJ25" s="212"/>
      <c r="HK25" s="212"/>
    </row>
    <row r="26" spans="1:44" s="205" customFormat="1" ht="60.75" customHeight="1">
      <c r="A26" s="204" t="s">
        <v>84</v>
      </c>
      <c r="B26" s="219" t="s">
        <v>561</v>
      </c>
      <c r="C26" s="219"/>
      <c r="D26" s="219"/>
      <c r="E26" s="219"/>
      <c r="F26" s="219" t="s">
        <v>485</v>
      </c>
      <c r="G26" s="219"/>
      <c r="H26" s="219"/>
      <c r="I26" s="219" t="s">
        <v>514</v>
      </c>
      <c r="J26" s="219" t="s">
        <v>531</v>
      </c>
      <c r="K26" s="220"/>
      <c r="L26" s="219"/>
      <c r="M26" s="219"/>
      <c r="N26" s="219"/>
      <c r="O26" s="219" t="s">
        <v>789</v>
      </c>
      <c r="P26" s="220" t="s">
        <v>572</v>
      </c>
      <c r="Q26" s="219"/>
      <c r="R26" s="219"/>
      <c r="S26" s="219" t="s">
        <v>830</v>
      </c>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row>
    <row r="27" spans="2:44" s="13" customFormat="1" ht="12.75" customHeight="1">
      <c r="B27" s="230"/>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row>
    <row r="28" spans="2:44" s="13" customFormat="1" ht="12.75" customHeight="1">
      <c r="B28" s="230"/>
      <c r="C28" s="230"/>
      <c r="D28" s="230"/>
      <c r="E28" s="230"/>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row>
    <row r="29" spans="2:44" s="13" customFormat="1" ht="12.75" customHeight="1">
      <c r="B29" s="230"/>
      <c r="C29" s="230"/>
      <c r="D29" s="230"/>
      <c r="E29" s="230"/>
      <c r="F29" s="230"/>
      <c r="G29" s="230"/>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row>
    <row r="30" spans="2:44" s="13" customFormat="1" ht="12.75" customHeight="1">
      <c r="B30" s="230"/>
      <c r="C30" s="230"/>
      <c r="D30" s="230"/>
      <c r="E30" s="230"/>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0"/>
      <c r="AO30" s="230"/>
      <c r="AP30" s="230"/>
      <c r="AQ30" s="230"/>
      <c r="AR30" s="230"/>
    </row>
    <row r="31" spans="2:44" s="13" customFormat="1" ht="12.75" customHeight="1">
      <c r="B31" s="230"/>
      <c r="C31" s="230"/>
      <c r="D31" s="230"/>
      <c r="E31" s="230"/>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c r="AL31" s="230"/>
      <c r="AM31" s="230"/>
      <c r="AN31" s="230"/>
      <c r="AO31" s="230"/>
      <c r="AP31" s="230"/>
      <c r="AQ31" s="230"/>
      <c r="AR31" s="230"/>
    </row>
    <row r="32" spans="2:44" s="13" customFormat="1" ht="12.75" customHeight="1">
      <c r="B32" s="230"/>
      <c r="C32" s="230"/>
      <c r="D32" s="230"/>
      <c r="E32" s="230"/>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row>
    <row r="33" spans="2:44" s="13" customFormat="1" ht="12.75" customHeight="1">
      <c r="B33" s="230"/>
      <c r="C33" s="230"/>
      <c r="D33" s="230"/>
      <c r="E33" s="230"/>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row>
    <row r="34" spans="2:44" s="13" customFormat="1" ht="12.75" customHeight="1">
      <c r="B34" s="230"/>
      <c r="C34" s="230"/>
      <c r="D34" s="230"/>
      <c r="E34" s="230"/>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c r="AM34" s="230"/>
      <c r="AN34" s="230"/>
      <c r="AO34" s="230"/>
      <c r="AP34" s="230"/>
      <c r="AQ34" s="230"/>
      <c r="AR34" s="230"/>
    </row>
    <row r="35" spans="2:44" s="13" customFormat="1" ht="12.75" customHeight="1">
      <c r="B35" s="230"/>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row>
    <row r="36" spans="2:44" s="13" customFormat="1" ht="12.75" customHeight="1">
      <c r="B36" s="230"/>
      <c r="C36" s="230"/>
      <c r="D36" s="230"/>
      <c r="E36" s="230"/>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row>
    <row r="37" spans="2:44" s="13" customFormat="1" ht="12.75" customHeight="1">
      <c r="B37" s="230"/>
      <c r="C37" s="230"/>
      <c r="D37" s="230"/>
      <c r="E37" s="230"/>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row>
    <row r="38" spans="2:44" s="13" customFormat="1" ht="12.75" customHeight="1">
      <c r="B38" s="230"/>
      <c r="C38" s="230"/>
      <c r="D38" s="230"/>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c r="AM38" s="230"/>
      <c r="AN38" s="230"/>
      <c r="AO38" s="230"/>
      <c r="AP38" s="230"/>
      <c r="AQ38" s="230"/>
      <c r="AR38" s="230"/>
    </row>
    <row r="39" spans="2:44" s="13" customFormat="1" ht="12.75" customHeight="1">
      <c r="B39" s="230"/>
      <c r="C39" s="230"/>
      <c r="D39" s="230"/>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c r="AM39" s="230"/>
      <c r="AN39" s="230"/>
      <c r="AO39" s="230"/>
      <c r="AP39" s="230"/>
      <c r="AQ39" s="230"/>
      <c r="AR39" s="230"/>
    </row>
    <row r="49" ht="12.75" customHeight="1">
      <c r="A49" s="349" t="s">
        <v>90</v>
      </c>
    </row>
    <row r="50" spans="2:44" s="11" customFormat="1" ht="12.75" customHeight="1">
      <c r="B50" s="232" t="s">
        <v>86</v>
      </c>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2"/>
      <c r="AA50" s="232"/>
      <c r="AB50" s="232"/>
      <c r="AC50" s="232"/>
      <c r="AD50" s="232"/>
      <c r="AE50" s="232"/>
      <c r="AF50" s="232"/>
      <c r="AG50" s="232"/>
      <c r="AH50" s="232"/>
      <c r="AI50" s="232"/>
      <c r="AJ50" s="232"/>
      <c r="AK50" s="232"/>
      <c r="AL50" s="232"/>
      <c r="AM50" s="232"/>
      <c r="AN50" s="232"/>
      <c r="AO50" s="232"/>
      <c r="AP50" s="232"/>
      <c r="AQ50" s="232"/>
      <c r="AR50" s="232"/>
    </row>
    <row r="51" ht="12.75" customHeight="1">
      <c r="B51" s="233" t="s">
        <v>145</v>
      </c>
    </row>
    <row r="52" ht="12.75" customHeight="1">
      <c r="B52" s="234" t="s">
        <v>150</v>
      </c>
    </row>
    <row r="53" ht="12.75" customHeight="1">
      <c r="B53" s="234" t="s">
        <v>151</v>
      </c>
    </row>
    <row r="54" ht="12.75" customHeight="1">
      <c r="B54" s="234" t="s">
        <v>152</v>
      </c>
    </row>
    <row r="55" ht="12.75" customHeight="1">
      <c r="B55" s="234" t="s">
        <v>149</v>
      </c>
    </row>
    <row r="56" ht="12.75" customHeight="1">
      <c r="B56" s="234" t="s">
        <v>87</v>
      </c>
    </row>
    <row r="57" ht="12.75" customHeight="1">
      <c r="B57" s="234" t="s">
        <v>153</v>
      </c>
    </row>
    <row r="58" ht="12.75" customHeight="1">
      <c r="B58" s="234" t="s">
        <v>88</v>
      </c>
    </row>
    <row r="59" ht="12.75" customHeight="1">
      <c r="B59" s="234" t="s">
        <v>89</v>
      </c>
    </row>
  </sheetData>
  <sheetProtection formatCells="0" insertHyperlinks="0"/>
  <dataValidations count="4">
    <dataValidation type="list" allowBlank="1" showInputMessage="1" showErrorMessage="1" prompt="Select from List." sqref="B3:GK3 HL3:IV3">
      <formula1>lstSourceType</formula1>
    </dataValidation>
    <dataValidation type="list" allowBlank="1" showInputMessage="1" showErrorMessage="1" prompt="Select from list." sqref="CL16 B19:IV19">
      <formula1>"Yes, No"</formula1>
    </dataValidation>
    <dataValidation type="list" allowBlank="1" showInputMessage="1" showErrorMessage="1" prompt="Select from list." sqref="B21:IV21">
      <formula1>lstOrigin</formula1>
    </dataValidation>
    <dataValidation type="list" allowBlank="1" showInputMessage="1" showErrorMessage="1" prompt="Select from List." sqref="GL3:HK3">
      <formula1>LstSourseType</formula1>
    </dataValidation>
  </dataValidations>
  <hyperlinks>
    <hyperlink ref="I9" r:id="rId1" display="http://www.epa.gov/ttn/chief/net/2005inventory.html"/>
  </hyperlinks>
  <printOptions/>
  <pageMargins left="0.25" right="0.25" top="0.5" bottom="0.5" header="0.3" footer="0.3"/>
  <pageSetup horizontalDpi="600" verticalDpi="600" orientation="landscape" r:id="rId2"/>
  <headerFooter alignWithMargins="0">
    <oddFooter>&amp;CPage &amp;P&amp;RDS_Stage1_O_CoalMine_I6_2009.01.xls</oddFooter>
  </headerFooter>
</worksheet>
</file>

<file path=xl/worksheets/sheet4.xml><?xml version="1.0" encoding="utf-8"?>
<worksheet xmlns="http://schemas.openxmlformats.org/spreadsheetml/2006/main" xmlns:r="http://schemas.openxmlformats.org/officeDocument/2006/relationships">
  <sheetPr codeName="Sheet2"/>
  <dimension ref="A1:AM53"/>
  <sheetViews>
    <sheetView zoomScalePageLayoutView="85" workbookViewId="0" topLeftCell="A1">
      <selection activeCell="A1" sqref="A1:K1"/>
    </sheetView>
  </sheetViews>
  <sheetFormatPr defaultColWidth="9.140625" defaultRowHeight="12.75"/>
  <cols>
    <col min="1" max="1" width="3.140625" style="0" customWidth="1"/>
    <col min="2" max="2" width="17.7109375" style="0" customWidth="1"/>
    <col min="3" max="3" width="17.8515625" style="0" customWidth="1"/>
    <col min="4" max="4" width="22.00390625" style="0" customWidth="1"/>
    <col min="5" max="5" width="21.140625" style="0" customWidth="1"/>
    <col min="6" max="7" width="22.00390625" style="0" customWidth="1"/>
    <col min="8" max="8" width="17.421875" style="0" customWidth="1"/>
    <col min="10" max="10" width="16.7109375" style="0" customWidth="1"/>
    <col min="11" max="11" width="25.28125" style="0" customWidth="1"/>
  </cols>
  <sheetData>
    <row r="1" spans="1:39" ht="20.25">
      <c r="A1" s="423" t="s">
        <v>640</v>
      </c>
      <c r="B1" s="423"/>
      <c r="C1" s="423"/>
      <c r="D1" s="423"/>
      <c r="E1" s="423"/>
      <c r="F1" s="423"/>
      <c r="G1" s="423"/>
      <c r="H1" s="423"/>
      <c r="I1" s="423"/>
      <c r="J1" s="423"/>
      <c r="K1" s="423"/>
      <c r="O1" s="49"/>
      <c r="P1" s="49"/>
      <c r="Q1" s="49"/>
      <c r="R1" s="49"/>
      <c r="S1" s="49"/>
      <c r="T1" s="49"/>
      <c r="U1" s="49"/>
      <c r="V1" s="49"/>
      <c r="W1" s="49"/>
      <c r="X1" s="49"/>
      <c r="Y1" s="49"/>
      <c r="Z1" s="49"/>
      <c r="AA1" s="49"/>
      <c r="AB1" s="49"/>
      <c r="AC1" s="49"/>
      <c r="AD1" s="49"/>
      <c r="AE1" s="49"/>
      <c r="AF1" s="49"/>
      <c r="AG1" s="49"/>
      <c r="AH1" s="49"/>
      <c r="AI1" s="49"/>
      <c r="AJ1" s="49"/>
      <c r="AK1" s="49"/>
      <c r="AL1" s="49"/>
      <c r="AM1" s="49"/>
    </row>
    <row r="2" spans="1:8" ht="30" customHeight="1">
      <c r="A2" s="158" t="s">
        <v>721</v>
      </c>
      <c r="C2" s="149"/>
      <c r="D2" s="149"/>
      <c r="E2" s="149"/>
      <c r="F2" s="149"/>
      <c r="G2" s="149"/>
      <c r="H2" s="149"/>
    </row>
    <row r="3" spans="2:11" s="234" customFormat="1" ht="40.5" customHeight="1">
      <c r="B3" s="298" t="s">
        <v>59</v>
      </c>
      <c r="C3" s="299" t="s">
        <v>743</v>
      </c>
      <c r="D3" s="299" t="s">
        <v>60</v>
      </c>
      <c r="E3" s="299" t="s">
        <v>130</v>
      </c>
      <c r="F3" s="299" t="s">
        <v>32</v>
      </c>
      <c r="G3" s="299" t="s">
        <v>38</v>
      </c>
      <c r="H3" s="299" t="s">
        <v>61</v>
      </c>
      <c r="I3" s="300" t="s">
        <v>62</v>
      </c>
      <c r="J3" s="299" t="s">
        <v>63</v>
      </c>
      <c r="K3" s="299" t="s">
        <v>64</v>
      </c>
    </row>
    <row r="4" spans="2:11" s="234" customFormat="1" ht="12.75">
      <c r="B4" s="299" t="s">
        <v>187</v>
      </c>
      <c r="C4" s="300" t="s">
        <v>744</v>
      </c>
      <c r="D4" s="299">
        <v>2</v>
      </c>
      <c r="E4" s="299">
        <v>2</v>
      </c>
      <c r="F4" s="299">
        <v>2</v>
      </c>
      <c r="G4" s="299">
        <v>1</v>
      </c>
      <c r="H4" s="299">
        <v>1</v>
      </c>
      <c r="I4" s="299" t="s">
        <v>68</v>
      </c>
      <c r="J4" s="299" t="s">
        <v>741</v>
      </c>
      <c r="K4" s="300" t="s">
        <v>722</v>
      </c>
    </row>
    <row r="5" spans="2:11" s="234" customFormat="1" ht="12.75">
      <c r="B5" s="300" t="s">
        <v>67</v>
      </c>
      <c r="C5" s="299" t="s">
        <v>745</v>
      </c>
      <c r="D5" s="301">
        <v>2</v>
      </c>
      <c r="E5" s="299">
        <v>2</v>
      </c>
      <c r="F5" s="299">
        <v>3</v>
      </c>
      <c r="G5" s="299">
        <v>2</v>
      </c>
      <c r="H5" s="299">
        <v>2</v>
      </c>
      <c r="I5" s="299" t="s">
        <v>79</v>
      </c>
      <c r="J5" s="299" t="s">
        <v>741</v>
      </c>
      <c r="K5" s="300" t="s">
        <v>722</v>
      </c>
    </row>
    <row r="6" spans="2:20" s="234" customFormat="1" ht="12.75">
      <c r="B6" s="300" t="s">
        <v>213</v>
      </c>
      <c r="C6" s="299" t="s">
        <v>746</v>
      </c>
      <c r="D6" s="299">
        <v>2</v>
      </c>
      <c r="E6" s="299">
        <v>2</v>
      </c>
      <c r="F6" s="299">
        <v>1</v>
      </c>
      <c r="G6" s="299">
        <v>1</v>
      </c>
      <c r="H6" s="299">
        <v>1</v>
      </c>
      <c r="I6" s="299" t="s">
        <v>69</v>
      </c>
      <c r="J6" s="299" t="s">
        <v>741</v>
      </c>
      <c r="K6" s="300" t="s">
        <v>722</v>
      </c>
      <c r="L6" s="413"/>
      <c r="M6" s="413"/>
      <c r="N6" s="413"/>
      <c r="O6" s="413"/>
      <c r="P6" s="413"/>
      <c r="Q6" s="413"/>
      <c r="R6" s="149"/>
      <c r="S6" s="149"/>
      <c r="T6" s="149"/>
    </row>
    <row r="7" spans="2:20" s="234" customFormat="1" ht="12.75">
      <c r="B7" s="300" t="s">
        <v>70</v>
      </c>
      <c r="C7" s="299" t="s">
        <v>747</v>
      </c>
      <c r="D7" s="299">
        <v>1</v>
      </c>
      <c r="E7" s="299">
        <v>2</v>
      </c>
      <c r="F7" s="299">
        <v>3</v>
      </c>
      <c r="G7" s="299">
        <v>2</v>
      </c>
      <c r="H7" s="299">
        <v>2</v>
      </c>
      <c r="I7" s="299" t="s">
        <v>752</v>
      </c>
      <c r="J7" s="299" t="s">
        <v>741</v>
      </c>
      <c r="K7" s="300" t="s">
        <v>722</v>
      </c>
      <c r="L7" s="149"/>
      <c r="M7" s="149"/>
      <c r="N7" s="149"/>
      <c r="O7" s="149"/>
      <c r="P7" s="149"/>
      <c r="Q7" s="149"/>
      <c r="R7" s="149"/>
      <c r="S7" s="149"/>
      <c r="T7" s="149"/>
    </row>
    <row r="8" spans="2:20" s="234" customFormat="1" ht="12.75">
      <c r="B8" s="300" t="s">
        <v>71</v>
      </c>
      <c r="C8" s="299" t="s">
        <v>748</v>
      </c>
      <c r="D8" s="299">
        <v>1</v>
      </c>
      <c r="E8" s="299">
        <v>1</v>
      </c>
      <c r="F8" s="299">
        <v>1</v>
      </c>
      <c r="G8" s="299">
        <v>1</v>
      </c>
      <c r="H8" s="299">
        <v>1</v>
      </c>
      <c r="I8" s="299" t="s">
        <v>72</v>
      </c>
      <c r="J8" s="299" t="s">
        <v>741</v>
      </c>
      <c r="K8" s="300" t="s">
        <v>722</v>
      </c>
      <c r="L8" s="149"/>
      <c r="M8" s="149"/>
      <c r="N8" s="149"/>
      <c r="O8" s="149"/>
      <c r="P8" s="149"/>
      <c r="Q8" s="149"/>
      <c r="R8" s="149"/>
      <c r="S8" s="149"/>
      <c r="T8" s="149"/>
    </row>
    <row r="9" spans="2:20" s="234" customFormat="1" ht="12.75">
      <c r="B9" s="300" t="s">
        <v>463</v>
      </c>
      <c r="C9" s="299" t="s">
        <v>749</v>
      </c>
      <c r="D9" s="299">
        <v>2</v>
      </c>
      <c r="E9" s="299">
        <v>2</v>
      </c>
      <c r="F9" s="299">
        <v>3</v>
      </c>
      <c r="G9" s="299">
        <v>3</v>
      </c>
      <c r="H9" s="299">
        <v>2</v>
      </c>
      <c r="I9" s="299" t="s">
        <v>74</v>
      </c>
      <c r="J9" s="299" t="s">
        <v>741</v>
      </c>
      <c r="K9" s="300" t="s">
        <v>722</v>
      </c>
      <c r="L9" s="149"/>
      <c r="M9" s="149"/>
      <c r="N9" s="149"/>
      <c r="O9" s="149"/>
      <c r="P9" s="149"/>
      <c r="Q9" s="149"/>
      <c r="R9" s="149"/>
      <c r="S9" s="149"/>
      <c r="T9" s="149"/>
    </row>
    <row r="10" spans="2:20" s="234" customFormat="1" ht="39" customHeight="1">
      <c r="B10" s="300" t="s">
        <v>460</v>
      </c>
      <c r="C10" s="299" t="s">
        <v>750</v>
      </c>
      <c r="D10" s="299">
        <v>2</v>
      </c>
      <c r="E10" s="299">
        <v>3</v>
      </c>
      <c r="F10" s="299">
        <v>5</v>
      </c>
      <c r="G10" s="299">
        <v>2</v>
      </c>
      <c r="H10" s="299">
        <v>2</v>
      </c>
      <c r="I10" s="302" t="s">
        <v>75</v>
      </c>
      <c r="J10" s="302" t="s">
        <v>77</v>
      </c>
      <c r="K10" s="303" t="s">
        <v>710</v>
      </c>
      <c r="L10" s="149"/>
      <c r="M10" s="149"/>
      <c r="N10" s="149"/>
      <c r="O10" s="149"/>
      <c r="P10" s="149"/>
      <c r="Q10" s="149"/>
      <c r="R10" s="149"/>
      <c r="S10" s="149"/>
      <c r="T10" s="149"/>
    </row>
    <row r="11" spans="2:20" s="234" customFormat="1" ht="13.5" thickBot="1">
      <c r="B11" s="310" t="s">
        <v>73</v>
      </c>
      <c r="C11" s="311" t="s">
        <v>751</v>
      </c>
      <c r="D11" s="311">
        <v>2</v>
      </c>
      <c r="E11" s="311">
        <v>2</v>
      </c>
      <c r="F11" s="311">
        <v>2</v>
      </c>
      <c r="G11" s="311">
        <v>1</v>
      </c>
      <c r="H11" s="311">
        <v>2</v>
      </c>
      <c r="I11" s="311" t="s">
        <v>76</v>
      </c>
      <c r="J11" s="311" t="s">
        <v>741</v>
      </c>
      <c r="K11" s="310" t="s">
        <v>722</v>
      </c>
      <c r="L11" s="149"/>
      <c r="M11" s="149"/>
      <c r="N11" s="149"/>
      <c r="O11" s="149"/>
      <c r="P11" s="149"/>
      <c r="Q11" s="149"/>
      <c r="R11" s="149"/>
      <c r="S11" s="149"/>
      <c r="T11" s="149"/>
    </row>
    <row r="12" spans="2:11" s="234" customFormat="1" ht="12.75">
      <c r="B12" s="307" t="s">
        <v>65</v>
      </c>
      <c r="C12" s="308"/>
      <c r="D12" s="308"/>
      <c r="E12" s="308"/>
      <c r="F12" s="308"/>
      <c r="G12" s="308"/>
      <c r="H12" s="308"/>
      <c r="I12" s="309" t="s">
        <v>78</v>
      </c>
      <c r="J12" s="308"/>
      <c r="K12" s="308"/>
    </row>
    <row r="13" spans="2:11" s="234" customFormat="1" ht="39" customHeight="1">
      <c r="B13" s="304" t="s">
        <v>66</v>
      </c>
      <c r="C13" s="305"/>
      <c r="D13" s="305"/>
      <c r="E13" s="305"/>
      <c r="F13" s="305"/>
      <c r="G13" s="305"/>
      <c r="H13" s="305"/>
      <c r="I13" s="306" t="s">
        <v>79</v>
      </c>
      <c r="J13" s="414" t="s">
        <v>742</v>
      </c>
      <c r="K13" s="414"/>
    </row>
    <row r="14" spans="2:39" ht="20.25">
      <c r="B14" s="49"/>
      <c r="C14" s="49"/>
      <c r="D14" s="49"/>
      <c r="E14" s="49"/>
      <c r="F14" s="49"/>
      <c r="G14" s="49"/>
      <c r="H14" s="49"/>
      <c r="I14" s="161"/>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row>
    <row r="15" spans="1:38" ht="20.25">
      <c r="A15" s="158" t="s">
        <v>723</v>
      </c>
      <c r="C15" s="49"/>
      <c r="D15" s="49"/>
      <c r="E15" s="49"/>
      <c r="F15" s="49"/>
      <c r="G15" s="49"/>
      <c r="H15" s="161"/>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row>
    <row r="16" s="48" customFormat="1" ht="13.5" thickBot="1">
      <c r="A16" s="293" t="s">
        <v>724</v>
      </c>
    </row>
    <row r="17" spans="2:7" ht="17.25" customHeight="1" thickBot="1">
      <c r="B17" s="415" t="s">
        <v>15</v>
      </c>
      <c r="C17" s="417" t="s">
        <v>16</v>
      </c>
      <c r="D17" s="418"/>
      <c r="E17" s="418"/>
      <c r="F17" s="418"/>
      <c r="G17" s="419"/>
    </row>
    <row r="18" spans="2:7" ht="13.5" thickBot="1">
      <c r="B18" s="416"/>
      <c r="C18" s="144">
        <v>1</v>
      </c>
      <c r="D18" s="144">
        <v>2</v>
      </c>
      <c r="E18" s="144">
        <v>3</v>
      </c>
      <c r="F18" s="144">
        <v>4</v>
      </c>
      <c r="G18" s="144">
        <v>5</v>
      </c>
    </row>
    <row r="19" spans="2:7" ht="60.75" thickBot="1">
      <c r="B19" s="420" t="s">
        <v>725</v>
      </c>
      <c r="C19" s="145" t="s">
        <v>17</v>
      </c>
      <c r="D19" s="145" t="s">
        <v>18</v>
      </c>
      <c r="E19" s="145" t="s">
        <v>19</v>
      </c>
      <c r="F19" s="145" t="s">
        <v>20</v>
      </c>
      <c r="G19" s="145" t="s">
        <v>21</v>
      </c>
    </row>
    <row r="20" spans="2:7" ht="24" customHeight="1" thickBot="1">
      <c r="B20" s="421"/>
      <c r="C20" s="427" t="s">
        <v>22</v>
      </c>
      <c r="D20" s="428"/>
      <c r="E20" s="427" t="s">
        <v>23</v>
      </c>
      <c r="F20" s="432"/>
      <c r="G20" s="428"/>
    </row>
    <row r="21" spans="2:7" ht="36.75" thickBot="1">
      <c r="B21" s="422"/>
      <c r="C21" s="146" t="s">
        <v>24</v>
      </c>
      <c r="D21" s="433" t="s">
        <v>25</v>
      </c>
      <c r="E21" s="434"/>
      <c r="F21" s="435" t="s">
        <v>26</v>
      </c>
      <c r="G21" s="436"/>
    </row>
    <row r="22" spans="2:7" ht="60.75" thickBot="1">
      <c r="B22" s="147" t="s">
        <v>130</v>
      </c>
      <c r="C22" s="145" t="s">
        <v>27</v>
      </c>
      <c r="D22" s="145" t="s">
        <v>28</v>
      </c>
      <c r="E22" s="145" t="s">
        <v>29</v>
      </c>
      <c r="F22" s="145" t="s">
        <v>30</v>
      </c>
      <c r="G22" s="145" t="s">
        <v>31</v>
      </c>
    </row>
    <row r="23" spans="2:7" ht="44.25" customHeight="1" thickBot="1">
      <c r="B23" s="147" t="s">
        <v>32</v>
      </c>
      <c r="C23" s="145" t="s">
        <v>33</v>
      </c>
      <c r="D23" s="145" t="s">
        <v>34</v>
      </c>
      <c r="E23" s="145" t="s">
        <v>35</v>
      </c>
      <c r="F23" s="145" t="s">
        <v>36</v>
      </c>
      <c r="G23" s="145" t="s">
        <v>37</v>
      </c>
    </row>
    <row r="24" spans="2:7" ht="44.25" customHeight="1" thickBot="1">
      <c r="B24" s="147" t="s">
        <v>38</v>
      </c>
      <c r="C24" s="145" t="s">
        <v>39</v>
      </c>
      <c r="D24" s="145" t="s">
        <v>40</v>
      </c>
      <c r="E24" s="145" t="s">
        <v>41</v>
      </c>
      <c r="F24" s="145" t="s">
        <v>42</v>
      </c>
      <c r="G24" s="145" t="s">
        <v>43</v>
      </c>
    </row>
    <row r="25" spans="2:7" ht="44.25" customHeight="1" thickBot="1">
      <c r="B25" s="147" t="s">
        <v>726</v>
      </c>
      <c r="C25" s="145" t="s">
        <v>45</v>
      </c>
      <c r="D25" s="427" t="s">
        <v>46</v>
      </c>
      <c r="E25" s="428"/>
      <c r="F25" s="145" t="s">
        <v>47</v>
      </c>
      <c r="G25" s="145" t="s">
        <v>48</v>
      </c>
    </row>
    <row r="26" spans="2:7" ht="12.75">
      <c r="B26" s="294"/>
      <c r="C26" s="295"/>
      <c r="D26" s="295"/>
      <c r="E26" s="295"/>
      <c r="F26" s="295"/>
      <c r="G26" s="295"/>
    </row>
    <row r="27" spans="2:7" ht="12.75">
      <c r="B27" s="294"/>
      <c r="C27" s="295"/>
      <c r="D27" s="295"/>
      <c r="E27" s="295"/>
      <c r="F27" s="295"/>
      <c r="G27" s="295"/>
    </row>
    <row r="28" spans="1:18" ht="18.75" customHeight="1">
      <c r="A28" s="296" t="s">
        <v>727</v>
      </c>
      <c r="C28" s="47"/>
      <c r="D28" s="47"/>
      <c r="E28" s="47"/>
      <c r="F28" s="47"/>
      <c r="G28" s="47"/>
      <c r="H28" s="47"/>
      <c r="I28" s="47"/>
      <c r="J28" s="47"/>
      <c r="K28" s="47"/>
      <c r="L28" s="47"/>
      <c r="M28" s="47"/>
      <c r="N28" s="47"/>
      <c r="O28" s="47"/>
      <c r="P28" s="47"/>
      <c r="Q28" s="47"/>
      <c r="R28" s="47"/>
    </row>
    <row r="29" spans="2:18" ht="18.75" customHeight="1">
      <c r="B29" s="340" t="s">
        <v>728</v>
      </c>
      <c r="C29" s="336"/>
      <c r="D29" s="336"/>
      <c r="E29" s="336"/>
      <c r="F29" s="336"/>
      <c r="G29" s="336"/>
      <c r="H29" s="337"/>
      <c r="I29" s="47"/>
      <c r="J29" s="47"/>
      <c r="K29" s="47"/>
      <c r="L29" s="47"/>
      <c r="M29" s="47"/>
      <c r="N29" s="47"/>
      <c r="O29" s="47"/>
      <c r="P29" s="47"/>
      <c r="Q29" s="47"/>
      <c r="R29" s="47"/>
    </row>
    <row r="30" spans="2:18" ht="64.5" customHeight="1">
      <c r="B30" s="338"/>
      <c r="C30" s="424" t="s">
        <v>729</v>
      </c>
      <c r="D30" s="425"/>
      <c r="E30" s="425"/>
      <c r="F30" s="425"/>
      <c r="G30" s="425"/>
      <c r="H30" s="426"/>
      <c r="N30" s="63"/>
      <c r="O30" s="63"/>
      <c r="P30" s="63"/>
      <c r="Q30" s="63"/>
      <c r="R30" s="63"/>
    </row>
    <row r="31" spans="2:18" ht="18.75" customHeight="1">
      <c r="B31" s="338"/>
      <c r="C31" s="343" t="s">
        <v>730</v>
      </c>
      <c r="D31" s="344"/>
      <c r="E31" s="344"/>
      <c r="F31" s="344"/>
      <c r="G31" s="344"/>
      <c r="H31" s="345"/>
      <c r="I31" s="47"/>
      <c r="J31" s="47"/>
      <c r="K31" s="47"/>
      <c r="L31" s="47"/>
      <c r="M31" s="47"/>
      <c r="N31" s="47"/>
      <c r="O31" s="47"/>
      <c r="P31" s="47"/>
      <c r="Q31" s="47"/>
      <c r="R31" s="47"/>
    </row>
    <row r="32" spans="2:18" ht="18.75" customHeight="1">
      <c r="B32" s="338"/>
      <c r="C32" s="346" t="s">
        <v>731</v>
      </c>
      <c r="D32" s="341"/>
      <c r="E32" s="341"/>
      <c r="F32" s="341"/>
      <c r="G32" s="341"/>
      <c r="H32" s="342"/>
      <c r="I32" s="47"/>
      <c r="J32" s="47"/>
      <c r="K32" s="47"/>
      <c r="L32" s="47"/>
      <c r="M32" s="47"/>
      <c r="N32" s="47"/>
      <c r="O32" s="47"/>
      <c r="P32" s="47"/>
      <c r="Q32" s="47"/>
      <c r="R32" s="47"/>
    </row>
    <row r="33" spans="2:18" ht="18.75" customHeight="1">
      <c r="B33" s="338"/>
      <c r="C33" s="346" t="s">
        <v>732</v>
      </c>
      <c r="D33" s="341"/>
      <c r="E33" s="341"/>
      <c r="F33" s="341"/>
      <c r="G33" s="341"/>
      <c r="H33" s="342"/>
      <c r="I33" s="47"/>
      <c r="J33" s="47"/>
      <c r="K33" s="47"/>
      <c r="L33" s="47"/>
      <c r="M33" s="47"/>
      <c r="N33" s="47"/>
      <c r="O33" s="47"/>
      <c r="P33" s="47"/>
      <c r="Q33" s="47"/>
      <c r="R33" s="47"/>
    </row>
    <row r="34" spans="2:18" ht="18.75" customHeight="1">
      <c r="B34" s="338"/>
      <c r="C34" s="346" t="s">
        <v>733</v>
      </c>
      <c r="D34" s="341"/>
      <c r="E34" s="341"/>
      <c r="F34" s="341"/>
      <c r="G34" s="341"/>
      <c r="H34" s="342"/>
      <c r="I34" s="47"/>
      <c r="J34" s="47"/>
      <c r="K34" s="47"/>
      <c r="L34" s="47"/>
      <c r="M34" s="47"/>
      <c r="N34" s="47"/>
      <c r="O34" s="47"/>
      <c r="P34" s="47"/>
      <c r="Q34" s="47"/>
      <c r="R34" s="47"/>
    </row>
    <row r="35" spans="2:18" ht="18.75" customHeight="1">
      <c r="B35" s="338"/>
      <c r="C35" s="346" t="s">
        <v>734</v>
      </c>
      <c r="D35" s="341"/>
      <c r="E35" s="341"/>
      <c r="F35" s="341"/>
      <c r="G35" s="341"/>
      <c r="H35" s="342"/>
      <c r="I35" s="47"/>
      <c r="J35" s="47"/>
      <c r="K35" s="47"/>
      <c r="L35" s="47"/>
      <c r="M35" s="47"/>
      <c r="N35" s="47"/>
      <c r="O35" s="47"/>
      <c r="P35" s="47"/>
      <c r="Q35" s="47"/>
      <c r="R35" s="47"/>
    </row>
    <row r="36" spans="2:18" ht="30" customHeight="1">
      <c r="B36" s="338"/>
      <c r="C36" s="429" t="s">
        <v>44</v>
      </c>
      <c r="D36" s="430"/>
      <c r="E36" s="430"/>
      <c r="F36" s="430"/>
      <c r="G36" s="430"/>
      <c r="H36" s="431"/>
      <c r="N36" s="46"/>
      <c r="O36" s="46"/>
      <c r="P36" s="46"/>
      <c r="Q36" s="47"/>
      <c r="R36" s="47"/>
    </row>
    <row r="37" spans="2:18" ht="41.25" customHeight="1">
      <c r="B37" s="339"/>
      <c r="C37" s="424" t="s">
        <v>735</v>
      </c>
      <c r="D37" s="425"/>
      <c r="E37" s="425"/>
      <c r="F37" s="425"/>
      <c r="G37" s="425"/>
      <c r="H37" s="426"/>
      <c r="N37" s="63"/>
      <c r="O37" s="63"/>
      <c r="P37" s="63"/>
      <c r="Q37" s="63"/>
      <c r="R37" s="47"/>
    </row>
    <row r="38" spans="2:18" ht="41.25" customHeight="1">
      <c r="B38" s="424" t="s">
        <v>736</v>
      </c>
      <c r="C38" s="425"/>
      <c r="D38" s="425"/>
      <c r="E38" s="425"/>
      <c r="F38" s="425"/>
      <c r="G38" s="425"/>
      <c r="H38" s="426"/>
      <c r="I38" s="47"/>
      <c r="J38" s="47"/>
      <c r="K38" s="47"/>
      <c r="L38" s="47"/>
      <c r="M38" s="47"/>
      <c r="N38" s="47"/>
      <c r="O38" s="47"/>
      <c r="P38" s="47"/>
      <c r="Q38" s="47"/>
      <c r="R38" s="47"/>
    </row>
    <row r="39" spans="2:9" ht="41.25" customHeight="1">
      <c r="B39" s="424" t="s">
        <v>737</v>
      </c>
      <c r="C39" s="425"/>
      <c r="D39" s="425"/>
      <c r="E39" s="425"/>
      <c r="F39" s="425"/>
      <c r="G39" s="425"/>
      <c r="H39" s="426"/>
      <c r="I39" s="143"/>
    </row>
    <row r="40" spans="2:9" ht="41.25" customHeight="1">
      <c r="B40" s="424" t="s">
        <v>738</v>
      </c>
      <c r="C40" s="425"/>
      <c r="D40" s="425"/>
      <c r="E40" s="425"/>
      <c r="F40" s="425"/>
      <c r="G40" s="425"/>
      <c r="H40" s="426"/>
      <c r="I40" s="143"/>
    </row>
    <row r="41" spans="2:9" ht="30" customHeight="1">
      <c r="B41" s="424" t="s">
        <v>739</v>
      </c>
      <c r="C41" s="425"/>
      <c r="D41" s="425"/>
      <c r="E41" s="425"/>
      <c r="F41" s="425"/>
      <c r="G41" s="425"/>
      <c r="H41" s="426"/>
      <c r="I41" s="143"/>
    </row>
    <row r="42" spans="1:9" ht="15.75">
      <c r="A42" s="297" t="s">
        <v>740</v>
      </c>
      <c r="B42" s="297"/>
      <c r="I42" s="148"/>
    </row>
    <row r="43" spans="2:8" ht="30" customHeight="1">
      <c r="B43" s="440" t="s">
        <v>49</v>
      </c>
      <c r="C43" s="441"/>
      <c r="D43" s="441"/>
      <c r="E43" s="441"/>
      <c r="F43" s="441"/>
      <c r="G43" s="441"/>
      <c r="H43" s="442"/>
    </row>
    <row r="44" spans="2:8" ht="12.75">
      <c r="B44" s="452" t="s">
        <v>50</v>
      </c>
      <c r="C44" s="453"/>
      <c r="D44" s="453"/>
      <c r="E44" s="453"/>
      <c r="F44" s="453"/>
      <c r="G44" s="92"/>
      <c r="H44" s="347"/>
    </row>
    <row r="45" spans="2:8" ht="30" customHeight="1">
      <c r="B45" s="443" t="s">
        <v>51</v>
      </c>
      <c r="C45" s="444"/>
      <c r="D45" s="444"/>
      <c r="E45" s="444"/>
      <c r="F45" s="444"/>
      <c r="G45" s="444"/>
      <c r="H45" s="445"/>
    </row>
    <row r="46" spans="2:8" ht="12.75">
      <c r="B46" s="348" t="s">
        <v>52</v>
      </c>
      <c r="C46" s="92"/>
      <c r="D46" s="92"/>
      <c r="E46" s="92"/>
      <c r="F46" s="92"/>
      <c r="G46" s="92"/>
      <c r="H46" s="347"/>
    </row>
    <row r="47" spans="2:8" ht="30" customHeight="1">
      <c r="B47" s="443" t="s">
        <v>53</v>
      </c>
      <c r="C47" s="444"/>
      <c r="D47" s="444"/>
      <c r="E47" s="444"/>
      <c r="F47" s="444"/>
      <c r="G47" s="444"/>
      <c r="H47" s="445"/>
    </row>
    <row r="48" spans="2:8" ht="12.75">
      <c r="B48" s="454" t="s">
        <v>794</v>
      </c>
      <c r="C48" s="455"/>
      <c r="D48" s="455"/>
      <c r="E48" s="455"/>
      <c r="F48" s="455"/>
      <c r="G48" s="455"/>
      <c r="H48" s="347"/>
    </row>
    <row r="49" spans="2:8" ht="30" customHeight="1">
      <c r="B49" s="443" t="s">
        <v>54</v>
      </c>
      <c r="C49" s="444"/>
      <c r="D49" s="444"/>
      <c r="E49" s="444"/>
      <c r="F49" s="444"/>
      <c r="G49" s="444"/>
      <c r="H49" s="445"/>
    </row>
    <row r="50" spans="2:8" ht="30" customHeight="1">
      <c r="B50" s="446" t="s">
        <v>55</v>
      </c>
      <c r="C50" s="447"/>
      <c r="D50" s="447"/>
      <c r="E50" s="447"/>
      <c r="F50" s="447"/>
      <c r="G50" s="447"/>
      <c r="H50" s="448"/>
    </row>
    <row r="51" spans="2:8" ht="30.75" customHeight="1">
      <c r="B51" s="449" t="s">
        <v>56</v>
      </c>
      <c r="C51" s="450"/>
      <c r="D51" s="450"/>
      <c r="E51" s="450"/>
      <c r="F51" s="450"/>
      <c r="G51" s="450"/>
      <c r="H51" s="451"/>
    </row>
    <row r="52" spans="2:8" ht="30" customHeight="1">
      <c r="B52" s="429" t="s">
        <v>57</v>
      </c>
      <c r="C52" s="430"/>
      <c r="D52" s="430"/>
      <c r="E52" s="430"/>
      <c r="F52" s="430"/>
      <c r="G52" s="430"/>
      <c r="H52" s="431"/>
    </row>
    <row r="53" spans="2:8" ht="12.75">
      <c r="B53" s="437" t="s">
        <v>58</v>
      </c>
      <c r="C53" s="438"/>
      <c r="D53" s="438"/>
      <c r="E53" s="438"/>
      <c r="F53" s="438"/>
      <c r="G53" s="438"/>
      <c r="H53" s="439"/>
    </row>
  </sheetData>
  <sheetProtection/>
  <mergeCells count="28">
    <mergeCell ref="B52:H52"/>
    <mergeCell ref="B53:H53"/>
    <mergeCell ref="B43:H43"/>
    <mergeCell ref="B45:H45"/>
    <mergeCell ref="B47:H47"/>
    <mergeCell ref="B49:H49"/>
    <mergeCell ref="B50:H50"/>
    <mergeCell ref="B51:H51"/>
    <mergeCell ref="B44:F44"/>
    <mergeCell ref="B48:G48"/>
    <mergeCell ref="D25:E25"/>
    <mergeCell ref="C36:H36"/>
    <mergeCell ref="C20:D20"/>
    <mergeCell ref="E20:G20"/>
    <mergeCell ref="D21:E21"/>
    <mergeCell ref="F21:G21"/>
    <mergeCell ref="B38:H38"/>
    <mergeCell ref="B39:H39"/>
    <mergeCell ref="B40:H40"/>
    <mergeCell ref="B41:H41"/>
    <mergeCell ref="C30:H30"/>
    <mergeCell ref="C37:H37"/>
    <mergeCell ref="L6:Q6"/>
    <mergeCell ref="J13:K13"/>
    <mergeCell ref="B17:B18"/>
    <mergeCell ref="C17:G17"/>
    <mergeCell ref="B19:B21"/>
    <mergeCell ref="A1:K1"/>
  </mergeCells>
  <printOptions/>
  <pageMargins left="0.7" right="0.7" top="0.75" bottom="0.75" header="0.3" footer="0.3"/>
  <pageSetup horizontalDpi="600" verticalDpi="600" orientation="landscape" paperSize="3" r:id="rId1"/>
  <headerFooter>
    <oddFooter>&amp;CPage &amp;P&amp;RDS_Stage1_O_CoalMine_I6_2009.01.xls</oddFooter>
  </headerFooter>
  <rowBreaks count="1" manualBreakCount="1">
    <brk id="27" max="255" man="1"/>
  </rowBreaks>
</worksheet>
</file>

<file path=xl/worksheets/sheet5.xml><?xml version="1.0" encoding="utf-8"?>
<worksheet xmlns="http://schemas.openxmlformats.org/spreadsheetml/2006/main" xmlns:r="http://schemas.openxmlformats.org/officeDocument/2006/relationships">
  <sheetPr codeName="Sheet4"/>
  <dimension ref="A1:I33"/>
  <sheetViews>
    <sheetView zoomScalePageLayoutView="0" workbookViewId="0" topLeftCell="A1">
      <selection activeCell="F7" sqref="F7"/>
    </sheetView>
  </sheetViews>
  <sheetFormatPr defaultColWidth="9.140625" defaultRowHeight="12.75"/>
  <cols>
    <col min="1" max="8" width="9.7109375" style="0" customWidth="1"/>
  </cols>
  <sheetData>
    <row r="1" ht="20.25">
      <c r="H1" s="156" t="s">
        <v>806</v>
      </c>
    </row>
    <row r="2" spans="1:9" s="154" customFormat="1" ht="20.25">
      <c r="A2" s="155" t="s">
        <v>587</v>
      </c>
      <c r="B2" s="155"/>
      <c r="C2" s="155"/>
      <c r="D2" s="155"/>
      <c r="E2" s="155"/>
      <c r="F2" s="155"/>
      <c r="G2" s="155"/>
      <c r="H2" s="155"/>
      <c r="I2" s="155" t="s">
        <v>91</v>
      </c>
    </row>
    <row r="4" ht="12.75">
      <c r="I4" s="47" t="s">
        <v>760</v>
      </c>
    </row>
    <row r="6" spans="1:7" ht="12.75">
      <c r="A6" s="1" t="s">
        <v>386</v>
      </c>
      <c r="B6" s="1"/>
      <c r="C6" s="1"/>
      <c r="D6" s="1"/>
      <c r="E6" s="1"/>
      <c r="F6" s="1">
        <v>216.4</v>
      </c>
      <c r="G6" s="1" t="s">
        <v>761</v>
      </c>
    </row>
    <row r="7" spans="6:7" ht="12.75">
      <c r="F7" s="320">
        <f>F6/'Mine Prod'!B6*Conversions!D12</f>
        <v>29.98872651154476</v>
      </c>
      <c r="G7" s="1" t="s">
        <v>819</v>
      </c>
    </row>
    <row r="8" spans="6:7" ht="12.75">
      <c r="F8" s="160">
        <f>F7/Conversions!D8</f>
        <v>0.033056912433893845</v>
      </c>
      <c r="G8" s="1" t="s">
        <v>385</v>
      </c>
    </row>
    <row r="33" ht="12.75">
      <c r="I33" s="1" t="s">
        <v>588</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18"/>
  <dimension ref="A1:AL35"/>
  <sheetViews>
    <sheetView zoomScalePageLayoutView="0" workbookViewId="0" topLeftCell="A1">
      <selection activeCell="A1" sqref="A1"/>
    </sheetView>
  </sheetViews>
  <sheetFormatPr defaultColWidth="9.7109375" defaultRowHeight="12.75"/>
  <cols>
    <col min="1" max="1" width="20.421875" style="49" customWidth="1"/>
    <col min="2" max="3" width="9.7109375" style="49" customWidth="1"/>
    <col min="4" max="4" width="11.421875" style="49" customWidth="1"/>
    <col min="5" max="8" width="9.7109375" style="49" customWidth="1"/>
    <col min="9" max="9" width="23.8515625" style="48" customWidth="1"/>
    <col min="10" max="10" width="14.8515625" style="48" customWidth="1"/>
    <col min="11" max="13" width="9.7109375" style="48" customWidth="1"/>
    <col min="14" max="38" width="9.7109375" style="49" customWidth="1"/>
    <col min="39" max="16384" width="9.7109375" style="48" customWidth="1"/>
  </cols>
  <sheetData>
    <row r="1" ht="20.25">
      <c r="H1" s="161" t="s">
        <v>642</v>
      </c>
    </row>
    <row r="2" spans="1:9" s="164" customFormat="1" ht="20.25">
      <c r="A2" s="158" t="s">
        <v>587</v>
      </c>
      <c r="B2" s="158"/>
      <c r="C2" s="158"/>
      <c r="D2" s="158"/>
      <c r="E2" s="158"/>
      <c r="F2" s="158"/>
      <c r="G2" s="158"/>
      <c r="H2" s="158"/>
      <c r="I2" s="158" t="s">
        <v>91</v>
      </c>
    </row>
    <row r="3" s="49" customFormat="1" ht="12.75"/>
    <row r="4" s="49" customFormat="1" ht="12.75"/>
    <row r="5" spans="6:13" s="49" customFormat="1" ht="12.75">
      <c r="F5" s="157"/>
      <c r="G5" s="157"/>
      <c r="H5" s="157"/>
      <c r="J5" s="157"/>
      <c r="K5" s="157"/>
      <c r="L5" s="157"/>
      <c r="M5" s="157"/>
    </row>
    <row r="6" spans="6:13" s="166" customFormat="1" ht="12.75">
      <c r="F6" s="128"/>
      <c r="G6" s="128"/>
      <c r="H6" s="128"/>
      <c r="I6" s="163" t="s">
        <v>590</v>
      </c>
      <c r="J6" s="235"/>
      <c r="K6" s="128"/>
      <c r="L6" s="128"/>
      <c r="M6" s="128"/>
    </row>
    <row r="7" spans="5:13" s="166" customFormat="1" ht="12.75">
      <c r="E7" s="236" t="s">
        <v>591</v>
      </c>
      <c r="F7" s="106"/>
      <c r="H7" s="106"/>
      <c r="I7" s="165" t="s">
        <v>384</v>
      </c>
      <c r="J7" s="106"/>
      <c r="K7" s="106"/>
      <c r="L7" s="106"/>
      <c r="M7" s="237"/>
    </row>
    <row r="8" spans="1:38" s="242" customFormat="1" ht="12.75">
      <c r="A8" s="238"/>
      <c r="B8" s="239"/>
      <c r="C8" s="240"/>
      <c r="D8" s="241"/>
      <c r="E8" s="166"/>
      <c r="F8" s="166"/>
      <c r="G8" s="166"/>
      <c r="H8" s="166"/>
      <c r="I8" s="456" t="s">
        <v>192</v>
      </c>
      <c r="J8" s="456"/>
      <c r="K8" s="456"/>
      <c r="L8" s="456"/>
      <c r="M8" s="45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row>
    <row r="9" spans="1:38" s="242" customFormat="1" ht="25.5">
      <c r="A9" s="238" t="s">
        <v>437</v>
      </c>
      <c r="B9" s="243">
        <f>J12*Conversions!D9/J18/Conversions!D8</f>
        <v>8.176158193614122E-05</v>
      </c>
      <c r="C9" s="240" t="s">
        <v>438</v>
      </c>
      <c r="D9" s="241"/>
      <c r="E9" s="166">
        <v>1</v>
      </c>
      <c r="F9" s="166"/>
      <c r="G9" s="166"/>
      <c r="H9" s="166"/>
      <c r="I9" s="244" t="s">
        <v>120</v>
      </c>
      <c r="J9" s="244" t="s">
        <v>118</v>
      </c>
      <c r="K9" s="244" t="s">
        <v>126</v>
      </c>
      <c r="L9" s="244" t="s">
        <v>191</v>
      </c>
      <c r="M9" s="245" t="s">
        <v>157</v>
      </c>
      <c r="N9" s="166"/>
      <c r="O9" s="166"/>
      <c r="P9" s="166"/>
      <c r="Q9" s="166"/>
      <c r="R9" s="166"/>
      <c r="S9" s="166"/>
      <c r="T9" s="166"/>
      <c r="U9" s="166"/>
      <c r="V9" s="166"/>
      <c r="W9" s="166"/>
      <c r="X9" s="166"/>
      <c r="Y9" s="166"/>
      <c r="Z9" s="166"/>
      <c r="AA9" s="166"/>
      <c r="AB9" s="166"/>
      <c r="AC9" s="166"/>
      <c r="AD9" s="166"/>
      <c r="AE9" s="166"/>
      <c r="AF9" s="166"/>
      <c r="AG9" s="166"/>
      <c r="AH9" s="166"/>
      <c r="AI9" s="166"/>
      <c r="AJ9" s="166"/>
      <c r="AK9" s="166"/>
      <c r="AL9" s="166"/>
    </row>
    <row r="10" spans="1:38" s="242" customFormat="1" ht="12.75">
      <c r="A10" s="238" t="s">
        <v>437</v>
      </c>
      <c r="B10" s="246">
        <f>B9*Conversions!D10</f>
        <v>0.0003095012554125042</v>
      </c>
      <c r="C10" s="240" t="s">
        <v>439</v>
      </c>
      <c r="D10" s="241"/>
      <c r="E10" s="166"/>
      <c r="F10" s="166"/>
      <c r="G10" s="166"/>
      <c r="H10" s="166"/>
      <c r="I10" s="458" t="s">
        <v>193</v>
      </c>
      <c r="J10" s="458"/>
      <c r="K10" s="458"/>
      <c r="L10" s="458"/>
      <c r="M10" s="458"/>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row>
    <row r="11" spans="1:38" s="242" customFormat="1" ht="25.5">
      <c r="A11" s="166"/>
      <c r="B11" s="166"/>
      <c r="C11" s="166"/>
      <c r="D11" s="166"/>
      <c r="E11" s="166"/>
      <c r="F11" s="166"/>
      <c r="G11" s="166"/>
      <c r="H11" s="166"/>
      <c r="I11" s="247" t="s">
        <v>194</v>
      </c>
      <c r="J11" s="248">
        <v>179800</v>
      </c>
      <c r="K11" s="249" t="s">
        <v>195</v>
      </c>
      <c r="L11" s="249" t="s">
        <v>196</v>
      </c>
      <c r="M11" s="250">
        <v>2002</v>
      </c>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6"/>
      <c r="AL11" s="166"/>
    </row>
    <row r="12" spans="1:38" s="242" customFormat="1" ht="38.25">
      <c r="A12" s="166"/>
      <c r="B12" s="166"/>
      <c r="C12" s="166"/>
      <c r="D12" s="166"/>
      <c r="E12" s="166"/>
      <c r="F12" s="166"/>
      <c r="G12" s="166"/>
      <c r="H12" s="166"/>
      <c r="I12" s="251" t="s">
        <v>197</v>
      </c>
      <c r="J12" s="248">
        <v>655900</v>
      </c>
      <c r="K12" s="249" t="s">
        <v>198</v>
      </c>
      <c r="L12" s="249" t="s">
        <v>196</v>
      </c>
      <c r="M12" s="250">
        <v>1997</v>
      </c>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row>
    <row r="13" spans="1:38" s="242" customFormat="1" ht="38.25">
      <c r="A13" s="166"/>
      <c r="B13" s="166"/>
      <c r="C13" s="166"/>
      <c r="D13" s="166"/>
      <c r="E13" s="166"/>
      <c r="F13" s="166"/>
      <c r="G13" s="166"/>
      <c r="H13" s="166"/>
      <c r="I13" s="251" t="s">
        <v>199</v>
      </c>
      <c r="J13" s="248">
        <v>178300</v>
      </c>
      <c r="K13" s="249" t="s">
        <v>198</v>
      </c>
      <c r="L13" s="249" t="s">
        <v>196</v>
      </c>
      <c r="M13" s="250">
        <v>2002</v>
      </c>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row>
    <row r="14" spans="1:38" s="242" customFormat="1" ht="25.5">
      <c r="A14" s="166"/>
      <c r="B14" s="166"/>
      <c r="C14" s="166"/>
      <c r="D14" s="166"/>
      <c r="E14" s="166"/>
      <c r="F14" s="166"/>
      <c r="G14" s="166"/>
      <c r="H14" s="166"/>
      <c r="I14" s="251" t="s">
        <v>200</v>
      </c>
      <c r="J14" s="248">
        <v>500</v>
      </c>
      <c r="K14" s="249" t="s">
        <v>201</v>
      </c>
      <c r="L14" s="249" t="s">
        <v>196</v>
      </c>
      <c r="M14" s="250">
        <v>1997</v>
      </c>
      <c r="N14" s="166"/>
      <c r="O14" s="166"/>
      <c r="P14" s="166"/>
      <c r="Q14" s="166"/>
      <c r="R14" s="166"/>
      <c r="S14" s="166"/>
      <c r="T14" s="166"/>
      <c r="U14" s="166"/>
      <c r="V14" s="166"/>
      <c r="W14" s="166"/>
      <c r="X14" s="166"/>
      <c r="Y14" s="166"/>
      <c r="Z14" s="166"/>
      <c r="AA14" s="166"/>
      <c r="AB14" s="166"/>
      <c r="AC14" s="166"/>
      <c r="AD14" s="166"/>
      <c r="AE14" s="166"/>
      <c r="AF14" s="166"/>
      <c r="AG14" s="166"/>
      <c r="AH14" s="166"/>
      <c r="AI14" s="166"/>
      <c r="AJ14" s="166"/>
      <c r="AK14" s="166"/>
      <c r="AL14" s="166"/>
    </row>
    <row r="15" spans="1:38" s="242" customFormat="1" ht="12.75">
      <c r="A15" s="166"/>
      <c r="B15" s="166"/>
      <c r="C15" s="166"/>
      <c r="D15" s="166"/>
      <c r="E15" s="166"/>
      <c r="F15" s="166"/>
      <c r="G15" s="166"/>
      <c r="H15" s="166"/>
      <c r="I15" s="251" t="s">
        <v>202</v>
      </c>
      <c r="J15" s="248">
        <v>1500000</v>
      </c>
      <c r="K15" s="249" t="s">
        <v>203</v>
      </c>
      <c r="L15" s="249" t="s">
        <v>196</v>
      </c>
      <c r="M15" s="250">
        <v>2002</v>
      </c>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row>
    <row r="16" spans="1:38" s="242" customFormat="1" ht="12.75">
      <c r="A16" s="166"/>
      <c r="B16" s="166"/>
      <c r="C16" s="166"/>
      <c r="D16" s="166"/>
      <c r="E16" s="166"/>
      <c r="F16" s="166"/>
      <c r="G16" s="166"/>
      <c r="H16" s="166"/>
      <c r="I16" s="251" t="s">
        <v>204</v>
      </c>
      <c r="J16" s="248">
        <v>6287072000</v>
      </c>
      <c r="K16" s="249" t="s">
        <v>188</v>
      </c>
      <c r="L16" s="249" t="s">
        <v>196</v>
      </c>
      <c r="M16" s="250">
        <v>2002</v>
      </c>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row>
    <row r="17" spans="1:38" s="242" customFormat="1" ht="12.75">
      <c r="A17" s="166"/>
      <c r="B17" s="166"/>
      <c r="C17" s="166"/>
      <c r="D17" s="166"/>
      <c r="E17" s="166"/>
      <c r="F17" s="166"/>
      <c r="G17" s="166"/>
      <c r="H17" s="166"/>
      <c r="I17" s="458" t="s">
        <v>205</v>
      </c>
      <c r="J17" s="458"/>
      <c r="K17" s="458"/>
      <c r="L17" s="458"/>
      <c r="M17" s="458"/>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row>
    <row r="18" spans="1:38" s="242" customFormat="1" ht="25.5">
      <c r="A18" s="166"/>
      <c r="B18" s="166"/>
      <c r="C18" s="166"/>
      <c r="D18" s="166"/>
      <c r="E18" s="166"/>
      <c r="F18" s="166"/>
      <c r="G18" s="166"/>
      <c r="H18" s="166"/>
      <c r="I18" s="251" t="s">
        <v>206</v>
      </c>
      <c r="J18" s="248">
        <f>(221.1+48.2+14.5+87.6)*1000000</f>
        <v>371400000</v>
      </c>
      <c r="K18" s="249" t="s">
        <v>195</v>
      </c>
      <c r="L18" s="249" t="s">
        <v>196</v>
      </c>
      <c r="M18" s="250">
        <v>2002</v>
      </c>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row>
    <row r="19" spans="1:5" s="166" customFormat="1" ht="12.75">
      <c r="A19" s="252"/>
      <c r="B19" s="253"/>
      <c r="C19" s="241"/>
      <c r="D19" s="241"/>
      <c r="E19" s="254"/>
    </row>
    <row r="20" spans="5:15" s="166" customFormat="1" ht="12.75" customHeight="1">
      <c r="E20" s="254"/>
      <c r="I20" s="459" t="s">
        <v>207</v>
      </c>
      <c r="J20" s="460"/>
      <c r="K20" s="460"/>
      <c r="L20" s="460"/>
      <c r="M20" s="461"/>
      <c r="N20" s="106"/>
      <c r="O20" s="106"/>
    </row>
    <row r="21" spans="5:15" s="166" customFormat="1" ht="12.75" customHeight="1">
      <c r="E21" s="254"/>
      <c r="I21" s="244" t="s">
        <v>208</v>
      </c>
      <c r="J21" s="244" t="s">
        <v>209</v>
      </c>
      <c r="K21" s="244" t="s">
        <v>126</v>
      </c>
      <c r="L21" s="244" t="s">
        <v>191</v>
      </c>
      <c r="M21" s="245" t="s">
        <v>157</v>
      </c>
      <c r="N21" s="106"/>
      <c r="O21" s="106"/>
    </row>
    <row r="22" spans="5:15" s="166" customFormat="1" ht="12.75">
      <c r="E22" s="254"/>
      <c r="I22" s="255" t="s">
        <v>189</v>
      </c>
      <c r="J22" s="256">
        <v>27</v>
      </c>
      <c r="K22" s="257" t="s">
        <v>811</v>
      </c>
      <c r="L22" s="257" t="s">
        <v>812</v>
      </c>
      <c r="M22" s="258">
        <v>0</v>
      </c>
      <c r="N22" s="106"/>
      <c r="O22" s="106"/>
    </row>
    <row r="23" spans="5:15" s="166" customFormat="1" ht="12.75">
      <c r="E23" s="254"/>
      <c r="I23" s="255" t="s">
        <v>210</v>
      </c>
      <c r="J23" s="259">
        <v>5.825</v>
      </c>
      <c r="K23" s="257" t="s">
        <v>809</v>
      </c>
      <c r="L23" s="257" t="s">
        <v>810</v>
      </c>
      <c r="M23" s="258">
        <v>0</v>
      </c>
      <c r="N23" s="106"/>
      <c r="O23" s="106"/>
    </row>
    <row r="24" spans="5:15" s="166" customFormat="1" ht="12.75">
      <c r="E24" s="254"/>
      <c r="I24" s="255" t="s">
        <v>211</v>
      </c>
      <c r="J24" s="259">
        <v>6.287</v>
      </c>
      <c r="K24" s="257" t="s">
        <v>809</v>
      </c>
      <c r="L24" s="257" t="s">
        <v>810</v>
      </c>
      <c r="M24" s="258">
        <v>0</v>
      </c>
      <c r="N24" s="106"/>
      <c r="O24" s="106"/>
    </row>
    <row r="25" spans="1:15" s="166" customFormat="1" ht="12.75">
      <c r="A25" s="252"/>
      <c r="B25" s="253"/>
      <c r="C25" s="241"/>
      <c r="D25" s="241"/>
      <c r="E25" s="254"/>
      <c r="I25" s="255" t="s">
        <v>212</v>
      </c>
      <c r="J25" s="260">
        <v>1027</v>
      </c>
      <c r="K25" s="257" t="s">
        <v>813</v>
      </c>
      <c r="L25" s="257" t="s">
        <v>814</v>
      </c>
      <c r="M25" s="258">
        <v>0</v>
      </c>
      <c r="N25" s="106"/>
      <c r="O25" s="106"/>
    </row>
    <row r="26" spans="1:38" s="242" customFormat="1" ht="13.5" customHeight="1">
      <c r="A26" s="166"/>
      <c r="B26" s="166"/>
      <c r="C26" s="166"/>
      <c r="D26" s="166"/>
      <c r="E26" s="166"/>
      <c r="F26" s="166"/>
      <c r="G26" s="166"/>
      <c r="H26" s="106"/>
      <c r="I26" s="255" t="s">
        <v>202</v>
      </c>
      <c r="J26" s="259">
        <v>5.253</v>
      </c>
      <c r="K26" s="257" t="s">
        <v>809</v>
      </c>
      <c r="L26" s="257" t="s">
        <v>810</v>
      </c>
      <c r="M26" s="258">
        <v>0</v>
      </c>
      <c r="N26" s="106"/>
      <c r="O26" s="10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row>
    <row r="27" spans="8:15" s="166" customFormat="1" ht="12.75">
      <c r="H27" s="106"/>
      <c r="I27" s="457"/>
      <c r="J27" s="457"/>
      <c r="K27" s="457"/>
      <c r="L27" s="457"/>
      <c r="M27" s="457"/>
      <c r="N27" s="457"/>
      <c r="O27" s="457"/>
    </row>
    <row r="28" spans="8:15" s="166" customFormat="1" ht="12.75">
      <c r="H28" s="106"/>
      <c r="I28" s="457"/>
      <c r="J28" s="457"/>
      <c r="K28" s="457"/>
      <c r="L28" s="457"/>
      <c r="M28" s="457"/>
      <c r="N28" s="457"/>
      <c r="O28" s="457"/>
    </row>
    <row r="29" spans="8:15" s="166" customFormat="1" ht="12.75">
      <c r="H29" s="106"/>
      <c r="I29" s="457"/>
      <c r="J29" s="457"/>
      <c r="K29" s="457"/>
      <c r="L29" s="457"/>
      <c r="M29" s="457"/>
      <c r="N29" s="457"/>
      <c r="O29" s="457"/>
    </row>
    <row r="30" spans="8:16" s="159" customFormat="1" ht="12.75">
      <c r="H30" s="162"/>
      <c r="I30" s="49"/>
      <c r="J30" s="49"/>
      <c r="K30" s="49"/>
      <c r="L30" s="49"/>
      <c r="M30" s="49"/>
      <c r="N30" s="49"/>
      <c r="O30" s="49"/>
      <c r="P30" s="49"/>
    </row>
    <row r="31" s="159" customFormat="1" ht="11.25">
      <c r="H31" s="162"/>
    </row>
    <row r="32" s="159" customFormat="1" ht="11.25">
      <c r="H32" s="162"/>
    </row>
    <row r="33" s="159" customFormat="1" ht="11.25">
      <c r="H33" s="162"/>
    </row>
    <row r="34" s="159" customFormat="1" ht="11.25">
      <c r="H34" s="162"/>
    </row>
    <row r="35" s="159" customFormat="1" ht="11.25">
      <c r="H35" s="162"/>
    </row>
    <row r="36" s="49" customFormat="1" ht="12.75"/>
    <row r="37" s="49" customFormat="1" ht="12.75"/>
    <row r="38" s="49" customFormat="1" ht="12.75"/>
    <row r="39" s="49" customFormat="1" ht="12.75"/>
    <row r="40" s="49" customFormat="1" ht="12.75"/>
    <row r="41" s="49" customFormat="1" ht="12.75"/>
    <row r="42" s="49" customFormat="1" ht="12.75"/>
    <row r="43" s="49" customFormat="1" ht="12.75"/>
    <row r="44" s="49" customFormat="1" ht="12.75"/>
    <row r="45" s="49" customFormat="1" ht="12.75"/>
    <row r="46" s="49" customFormat="1" ht="12.75"/>
    <row r="47" s="49" customFormat="1" ht="12.75"/>
    <row r="48" s="49" customFormat="1" ht="12.75"/>
    <row r="49" s="49" customFormat="1" ht="12.75"/>
    <row r="50" s="49" customFormat="1" ht="12.75"/>
    <row r="51" s="49" customFormat="1" ht="12.75"/>
    <row r="52" s="49" customFormat="1" ht="12.75"/>
    <row r="53" s="49" customFormat="1" ht="12.75"/>
    <row r="54" s="49" customFormat="1" ht="12.75"/>
    <row r="55" s="49" customFormat="1" ht="12.75"/>
    <row r="56" s="49" customFormat="1" ht="12.75"/>
    <row r="57" s="49" customFormat="1" ht="12.75"/>
    <row r="58" s="49" customFormat="1" ht="12.75"/>
    <row r="59" s="49" customFormat="1" ht="12.75"/>
    <row r="60" s="49" customFormat="1" ht="12.75"/>
    <row r="61" s="49" customFormat="1" ht="12.75"/>
    <row r="62" s="49" customFormat="1" ht="12.75"/>
    <row r="63" s="49" customFormat="1" ht="12.75"/>
    <row r="64" s="49" customFormat="1" ht="12.75"/>
    <row r="65" s="49" customFormat="1" ht="12.75"/>
    <row r="66" s="49" customFormat="1" ht="12.75"/>
    <row r="67" s="49" customFormat="1" ht="12.75"/>
    <row r="68" s="49" customFormat="1" ht="12.75"/>
    <row r="69" s="49" customFormat="1" ht="12.75"/>
    <row r="70" s="49" customFormat="1" ht="12.75"/>
    <row r="71" s="49" customFormat="1" ht="12.75"/>
    <row r="72" s="49" customFormat="1" ht="12.75"/>
    <row r="73" s="49" customFormat="1" ht="12.75"/>
    <row r="74" s="49" customFormat="1" ht="12.75"/>
    <row r="75" s="49" customFormat="1" ht="12.75"/>
    <row r="76" s="49" customFormat="1" ht="12.75"/>
    <row r="77" s="49" customFormat="1" ht="12.75"/>
    <row r="78" s="49" customFormat="1" ht="12.75"/>
    <row r="79" s="49" customFormat="1" ht="12.75"/>
    <row r="80" s="49" customFormat="1" ht="12.75"/>
    <row r="81" s="49" customFormat="1" ht="12.75"/>
    <row r="82" s="49" customFormat="1" ht="12.75"/>
    <row r="83" s="49" customFormat="1" ht="12.75"/>
    <row r="84" s="49" customFormat="1" ht="12.75"/>
    <row r="85" s="49" customFormat="1" ht="12.75"/>
    <row r="86" s="49" customFormat="1" ht="12.75"/>
    <row r="87" s="49" customFormat="1" ht="12.75"/>
    <row r="88" s="49" customFormat="1" ht="12.75"/>
    <row r="89" s="49" customFormat="1" ht="12.75"/>
    <row r="90" s="49" customFormat="1" ht="12.75"/>
    <row r="91" s="49" customFormat="1" ht="12.75"/>
    <row r="92" s="49" customFormat="1" ht="12.75"/>
    <row r="93" s="49" customFormat="1" ht="12.75"/>
    <row r="94" s="49" customFormat="1" ht="12.75"/>
    <row r="95" s="49" customFormat="1" ht="12.75"/>
    <row r="96" s="49" customFormat="1" ht="12.75"/>
    <row r="97" s="49" customFormat="1" ht="12.75"/>
    <row r="98" s="49" customFormat="1" ht="12.75"/>
    <row r="99" s="49" customFormat="1" ht="12.75"/>
    <row r="100" s="49" customFormat="1" ht="12.75"/>
    <row r="101" s="49" customFormat="1" ht="12.75"/>
    <row r="102" s="49" customFormat="1" ht="12.75"/>
    <row r="103" s="49" customFormat="1" ht="12.75"/>
    <row r="104" s="49" customFormat="1" ht="12.75"/>
    <row r="105" s="49" customFormat="1" ht="12.75"/>
    <row r="106" s="49" customFormat="1" ht="12.75"/>
    <row r="107" s="49" customFormat="1" ht="12.75"/>
    <row r="108" s="49" customFormat="1" ht="12.75"/>
    <row r="109" s="49" customFormat="1" ht="12.75"/>
    <row r="110" s="49" customFormat="1" ht="12.75"/>
    <row r="111" s="49" customFormat="1" ht="12.75"/>
    <row r="112" s="49" customFormat="1" ht="12.75"/>
    <row r="113" s="49" customFormat="1" ht="12.75"/>
    <row r="114" s="49" customFormat="1" ht="12.75"/>
    <row r="115" s="49" customFormat="1" ht="12.75"/>
    <row r="116" s="49" customFormat="1" ht="12.75"/>
    <row r="117" s="49" customFormat="1" ht="12.75"/>
    <row r="118" s="49" customFormat="1" ht="12.75"/>
    <row r="119" s="49" customFormat="1" ht="12.75"/>
    <row r="120" s="49" customFormat="1" ht="12.75"/>
    <row r="121" s="49" customFormat="1" ht="12.75"/>
    <row r="122" s="49" customFormat="1" ht="12.75"/>
    <row r="123" s="49" customFormat="1" ht="12.75"/>
    <row r="124" s="49" customFormat="1" ht="12.75"/>
    <row r="125" s="49" customFormat="1" ht="12.75"/>
    <row r="126" s="49" customFormat="1" ht="12.75"/>
    <row r="127" s="49" customFormat="1" ht="12.75"/>
    <row r="128" s="49" customFormat="1" ht="12.75"/>
    <row r="129" s="49" customFormat="1" ht="12.75"/>
    <row r="130" s="49" customFormat="1" ht="12.75"/>
    <row r="131" s="49" customFormat="1" ht="12.75"/>
    <row r="132" s="49" customFormat="1" ht="12.75"/>
    <row r="133" s="49" customFormat="1" ht="12.75"/>
    <row r="134" s="49" customFormat="1" ht="12.75"/>
    <row r="135" s="49" customFormat="1" ht="12.75"/>
    <row r="136" s="49" customFormat="1" ht="12.75"/>
    <row r="137" s="49" customFormat="1" ht="12.75"/>
    <row r="138" s="49" customFormat="1" ht="12.75"/>
    <row r="139" s="49" customFormat="1" ht="12.75"/>
    <row r="140" s="49" customFormat="1" ht="12.75"/>
    <row r="141" s="49" customFormat="1" ht="12.75"/>
    <row r="142" s="49" customFormat="1" ht="12.75"/>
    <row r="143" s="49" customFormat="1" ht="12.75"/>
    <row r="144" s="49" customFormat="1" ht="12.75"/>
    <row r="145" s="49" customFormat="1" ht="12.75"/>
    <row r="146" s="49" customFormat="1" ht="12.75"/>
    <row r="147" s="49" customFormat="1" ht="12.75"/>
    <row r="148" s="49" customFormat="1" ht="12.75"/>
    <row r="149" s="49" customFormat="1" ht="12.75"/>
    <row r="150" s="49" customFormat="1" ht="12.75"/>
    <row r="151" s="49" customFormat="1" ht="12.75"/>
    <row r="152" s="49" customFormat="1" ht="12.75"/>
    <row r="153" s="49" customFormat="1" ht="12.75"/>
    <row r="154" s="49" customFormat="1" ht="12.75"/>
    <row r="155" s="49" customFormat="1" ht="12.75"/>
    <row r="156" s="49" customFormat="1" ht="12.75"/>
    <row r="157" s="49" customFormat="1" ht="12.75"/>
    <row r="158" s="49" customFormat="1" ht="12.75"/>
    <row r="159" s="49" customFormat="1" ht="12.75"/>
    <row r="160" s="49" customFormat="1" ht="12.75"/>
    <row r="161" s="49" customFormat="1" ht="12.75"/>
    <row r="162" s="49" customFormat="1" ht="12.75"/>
    <row r="163" s="49" customFormat="1" ht="12.75"/>
    <row r="164" s="49" customFormat="1" ht="12.75"/>
    <row r="165" s="49" customFormat="1" ht="12.75"/>
    <row r="166" s="49" customFormat="1" ht="12.75"/>
    <row r="167" s="49" customFormat="1" ht="12.75"/>
    <row r="168" s="49" customFormat="1" ht="12.75"/>
    <row r="169" s="49" customFormat="1" ht="12.75"/>
    <row r="170" s="49" customFormat="1" ht="12.75"/>
    <row r="171" s="49" customFormat="1" ht="12.75"/>
    <row r="172" s="49" customFormat="1" ht="12.75"/>
    <row r="173" s="49" customFormat="1" ht="12.75"/>
    <row r="174" s="49" customFormat="1" ht="12.75"/>
    <row r="175" s="49" customFormat="1" ht="12.75"/>
    <row r="176" s="49" customFormat="1" ht="12.75"/>
    <row r="177" s="49" customFormat="1" ht="12.75"/>
    <row r="178" s="49" customFormat="1" ht="12.75"/>
    <row r="179" s="49" customFormat="1" ht="12.75"/>
    <row r="180" s="49" customFormat="1" ht="12.75"/>
    <row r="181" s="49" customFormat="1" ht="12.75"/>
    <row r="182" s="49" customFormat="1" ht="12.75"/>
    <row r="183" s="49" customFormat="1" ht="12.75"/>
    <row r="184" s="49" customFormat="1" ht="12.75"/>
    <row r="185" s="49" customFormat="1" ht="12.75"/>
    <row r="186" s="49" customFormat="1" ht="12.75"/>
    <row r="187" s="49" customFormat="1" ht="12.75"/>
    <row r="188" s="49" customFormat="1" ht="12.75"/>
    <row r="189" s="49" customFormat="1" ht="12.75"/>
    <row r="190" s="49" customFormat="1" ht="12.75"/>
    <row r="191" s="49" customFormat="1" ht="12.75"/>
    <row r="192" s="49" customFormat="1" ht="12.75"/>
    <row r="193" s="49" customFormat="1" ht="12.75"/>
    <row r="194" s="49" customFormat="1" ht="12.75"/>
    <row r="195" s="49" customFormat="1" ht="12.75"/>
    <row r="196" s="49" customFormat="1" ht="12.75"/>
    <row r="197" s="49" customFormat="1" ht="12.75"/>
    <row r="198" s="49" customFormat="1" ht="12.75"/>
    <row r="199" s="49" customFormat="1" ht="12.75"/>
    <row r="200" s="49" customFormat="1" ht="12.75"/>
    <row r="201" s="49" customFormat="1" ht="12.75"/>
    <row r="202" s="49" customFormat="1" ht="12.75"/>
    <row r="203" s="49" customFormat="1" ht="12.75"/>
    <row r="204" s="49" customFormat="1" ht="12.75"/>
    <row r="205" s="49" customFormat="1" ht="12.75"/>
    <row r="206" s="49" customFormat="1" ht="12.75"/>
    <row r="207" s="49" customFormat="1" ht="12.75"/>
    <row r="208" s="49" customFormat="1" ht="12.75"/>
    <row r="209" s="49" customFormat="1" ht="12.75"/>
    <row r="210" s="49" customFormat="1" ht="12.75"/>
    <row r="211" s="49" customFormat="1" ht="12.75"/>
    <row r="212" s="49" customFormat="1" ht="12.75"/>
    <row r="213" s="49" customFormat="1" ht="12.75"/>
    <row r="214" s="49" customFormat="1" ht="12.75"/>
    <row r="215" s="49" customFormat="1" ht="12.75"/>
    <row r="216" s="49" customFormat="1" ht="12.75"/>
    <row r="217" s="49" customFormat="1" ht="12.75"/>
    <row r="218" s="49" customFormat="1" ht="12.75"/>
    <row r="219" s="49" customFormat="1" ht="12.75"/>
    <row r="220" s="49" customFormat="1" ht="12.75"/>
  </sheetData>
  <sheetProtection/>
  <mergeCells count="5">
    <mergeCell ref="I8:M8"/>
    <mergeCell ref="I27:O29"/>
    <mergeCell ref="I17:M17"/>
    <mergeCell ref="I20:M20"/>
    <mergeCell ref="I10:M10"/>
  </mergeCells>
  <printOptions/>
  <pageMargins left="0.75" right="0.75" top="1" bottom="1" header="0.5" footer="0.5"/>
  <pageSetup fitToWidth="3" horizontalDpi="600" verticalDpi="600" orientation="portrait" scale="82" r:id="rId2"/>
  <headerFooter alignWithMargins="0">
    <oddHeader>&amp;L&amp;G
</oddHeader>
    <oddFooter>&amp;L&amp;F
&amp;A
2008&amp;R&amp;P</oddFooter>
  </headerFooter>
  <colBreaks count="1" manualBreakCount="1">
    <brk id="5" min="4" max="60" man="1"/>
  </colBreaks>
  <legacyDrawingHF r:id="rId1"/>
</worksheet>
</file>

<file path=xl/worksheets/sheet7.xml><?xml version="1.0" encoding="utf-8"?>
<worksheet xmlns="http://schemas.openxmlformats.org/spreadsheetml/2006/main" xmlns:r="http://schemas.openxmlformats.org/officeDocument/2006/relationships">
  <sheetPr codeName="Sheet5"/>
  <dimension ref="A1:AL83"/>
  <sheetViews>
    <sheetView zoomScalePageLayoutView="0" workbookViewId="0" topLeftCell="A10">
      <selection activeCell="C27" sqref="C27"/>
    </sheetView>
  </sheetViews>
  <sheetFormatPr defaultColWidth="9.140625" defaultRowHeight="12.75"/>
  <cols>
    <col min="1" max="1" width="14.00390625" style="0" customWidth="1"/>
    <col min="2" max="2" width="9.57421875" style="0" bestFit="1" customWidth="1"/>
    <col min="3" max="3" width="11.421875" style="0" bestFit="1" customWidth="1"/>
    <col min="4" max="4" width="23.140625" style="0" bestFit="1" customWidth="1"/>
    <col min="5" max="5" width="12.28125" style="0" bestFit="1" customWidth="1"/>
  </cols>
  <sheetData>
    <row r="1" spans="1:38" ht="20.25">
      <c r="A1" s="314" t="s">
        <v>759</v>
      </c>
      <c r="B1" s="49"/>
      <c r="C1" s="49"/>
      <c r="D1" s="49"/>
      <c r="E1" s="49"/>
      <c r="F1" s="49"/>
      <c r="G1" s="49"/>
      <c r="H1" s="161" t="s">
        <v>594</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4" customFormat="1" ht="20.25">
      <c r="A2" s="158" t="s">
        <v>587</v>
      </c>
      <c r="B2" s="158"/>
      <c r="C2" s="158"/>
      <c r="D2" s="158"/>
      <c r="E2" s="158"/>
      <c r="F2" s="158"/>
      <c r="G2" s="158"/>
      <c r="H2" s="158"/>
      <c r="I2" s="158" t="s">
        <v>91</v>
      </c>
    </row>
    <row r="4" spans="1:9" ht="12.75">
      <c r="A4" t="s">
        <v>437</v>
      </c>
      <c r="B4" s="104">
        <v>8.176158193614122E-05</v>
      </c>
      <c r="C4" t="s">
        <v>438</v>
      </c>
      <c r="I4" s="47" t="s">
        <v>595</v>
      </c>
    </row>
    <row r="5" spans="2:9" ht="12.75">
      <c r="B5" s="103">
        <f>'Diesel Use'!B10</f>
        <v>0.0003095012554125042</v>
      </c>
      <c r="C5" t="s">
        <v>439</v>
      </c>
      <c r="I5" s="47" t="s">
        <v>596</v>
      </c>
    </row>
    <row r="6" ht="12.75">
      <c r="I6" s="47" t="s">
        <v>590</v>
      </c>
    </row>
    <row r="7" ht="12.75">
      <c r="I7" s="47"/>
    </row>
    <row r="8" ht="12.75">
      <c r="E8" s="116"/>
    </row>
    <row r="10" spans="1:13" s="159" customFormat="1" ht="15">
      <c r="A10" s="312" t="s">
        <v>454</v>
      </c>
      <c r="E10" s="313"/>
      <c r="F10" s="162"/>
      <c r="G10" s="162"/>
      <c r="H10" s="162"/>
      <c r="I10" s="162"/>
      <c r="J10" s="162"/>
      <c r="K10" s="162"/>
      <c r="L10" s="162"/>
      <c r="M10" s="162"/>
    </row>
    <row r="11" spans="1:8" ht="12.75">
      <c r="A11" s="112" t="s">
        <v>462</v>
      </c>
      <c r="B11" s="112"/>
      <c r="C11" s="112" t="s">
        <v>453</v>
      </c>
      <c r="D11" s="113"/>
      <c r="E11" s="112" t="s">
        <v>591</v>
      </c>
      <c r="G11" s="112"/>
      <c r="H11" s="86"/>
    </row>
    <row r="12" spans="1:9" ht="15.75">
      <c r="A12" s="106" t="s">
        <v>457</v>
      </c>
      <c r="B12" s="107"/>
      <c r="C12" s="127">
        <v>73.15</v>
      </c>
      <c r="D12" s="106" t="s">
        <v>456</v>
      </c>
      <c r="E12" s="106">
        <v>2</v>
      </c>
      <c r="F12" s="106"/>
      <c r="H12" s="106"/>
      <c r="I12" s="106" t="s">
        <v>598</v>
      </c>
    </row>
    <row r="13" spans="1:9" ht="15.75">
      <c r="A13" s="106" t="s">
        <v>458</v>
      </c>
      <c r="B13" s="107"/>
      <c r="C13" s="127">
        <v>0.58</v>
      </c>
      <c r="D13" s="106" t="s">
        <v>475</v>
      </c>
      <c r="E13" s="106">
        <v>2</v>
      </c>
      <c r="F13" s="106"/>
      <c r="H13" s="106"/>
      <c r="I13" s="106" t="s">
        <v>597</v>
      </c>
    </row>
    <row r="14" spans="1:9" ht="15.75">
      <c r="A14" s="106" t="s">
        <v>459</v>
      </c>
      <c r="B14" s="107"/>
      <c r="C14" s="127">
        <v>0.26</v>
      </c>
      <c r="D14" s="106" t="s">
        <v>475</v>
      </c>
      <c r="E14" s="106">
        <v>2</v>
      </c>
      <c r="F14" s="106"/>
      <c r="H14" s="106"/>
      <c r="I14" s="106" t="s">
        <v>597</v>
      </c>
    </row>
    <row r="15" spans="1:9" ht="12.75">
      <c r="A15" s="108" t="s">
        <v>452</v>
      </c>
      <c r="B15" s="108"/>
      <c r="C15">
        <v>0.3</v>
      </c>
      <c r="D15" s="108" t="s">
        <v>448</v>
      </c>
      <c r="E15" s="171" t="s">
        <v>605</v>
      </c>
      <c r="F15" s="110"/>
      <c r="H15" s="86"/>
      <c r="I15" s="168" t="s">
        <v>599</v>
      </c>
    </row>
    <row r="16" spans="1:9" ht="12.75">
      <c r="A16" s="108" t="s">
        <v>450</v>
      </c>
      <c r="B16" s="108"/>
      <c r="C16">
        <v>0.01</v>
      </c>
      <c r="D16" s="108" t="s">
        <v>448</v>
      </c>
      <c r="E16" s="171" t="s">
        <v>605</v>
      </c>
      <c r="F16" s="110"/>
      <c r="H16" s="86"/>
      <c r="I16" s="168" t="s">
        <v>600</v>
      </c>
    </row>
    <row r="17" spans="1:9" ht="12.75">
      <c r="A17" s="108" t="s">
        <v>464</v>
      </c>
      <c r="B17" s="108"/>
      <c r="C17">
        <v>0.14</v>
      </c>
      <c r="D17" s="108" t="s">
        <v>448</v>
      </c>
      <c r="E17" s="171" t="s">
        <v>605</v>
      </c>
      <c r="F17" s="110"/>
      <c r="H17" s="86"/>
      <c r="I17" s="168" t="s">
        <v>601</v>
      </c>
    </row>
    <row r="18" spans="1:9" ht="12.75">
      <c r="A18" s="108" t="s">
        <v>451</v>
      </c>
      <c r="B18" s="108"/>
      <c r="C18">
        <v>3.5</v>
      </c>
      <c r="D18" s="108" t="s">
        <v>465</v>
      </c>
      <c r="E18" s="171" t="s">
        <v>605</v>
      </c>
      <c r="F18" s="110"/>
      <c r="H18" s="86"/>
      <c r="I18" s="168" t="s">
        <v>602</v>
      </c>
    </row>
    <row r="19" spans="1:9" ht="15.75">
      <c r="A19" s="105" t="s">
        <v>461</v>
      </c>
      <c r="C19" s="109">
        <v>9.564884680202632E-05</v>
      </c>
      <c r="D19" s="108" t="s">
        <v>447</v>
      </c>
      <c r="E19" s="170">
        <v>2</v>
      </c>
      <c r="I19" s="168" t="s">
        <v>795</v>
      </c>
    </row>
    <row r="20" spans="1:9" ht="12.75">
      <c r="A20" s="105" t="s">
        <v>460</v>
      </c>
      <c r="C20">
        <f>B47</f>
        <v>0.11</v>
      </c>
      <c r="D20" t="s">
        <v>383</v>
      </c>
      <c r="E20" s="170">
        <v>2</v>
      </c>
      <c r="I20" s="169" t="s">
        <v>603</v>
      </c>
    </row>
    <row r="21" spans="1:9" ht="12.75">
      <c r="A21" s="105" t="s">
        <v>463</v>
      </c>
      <c r="C21" s="111">
        <f>C77</f>
        <v>0.15638095238095237</v>
      </c>
      <c r="D21" s="105" t="s">
        <v>468</v>
      </c>
      <c r="E21" s="170">
        <v>2</v>
      </c>
      <c r="I21" s="169" t="s">
        <v>604</v>
      </c>
    </row>
    <row r="22" spans="1:4" ht="12.75">
      <c r="A22" s="105"/>
      <c r="C22" s="111"/>
      <c r="D22" s="105"/>
    </row>
    <row r="23" spans="1:4" ht="12.75">
      <c r="A23" s="105"/>
      <c r="C23" s="111"/>
      <c r="D23" s="105"/>
    </row>
    <row r="24" spans="1:4" ht="15">
      <c r="A24" s="126" t="s">
        <v>472</v>
      </c>
      <c r="C24" s="111"/>
      <c r="D24" s="105"/>
    </row>
    <row r="25" spans="1:4" ht="12.75">
      <c r="A25" s="112" t="s">
        <v>462</v>
      </c>
      <c r="C25" s="111"/>
      <c r="D25" s="105"/>
    </row>
    <row r="26" spans="1:5" ht="15.75">
      <c r="A26" s="106" t="s">
        <v>457</v>
      </c>
      <c r="C26" s="180">
        <f>B4/Conversions!D9*'Diesel Use'!J23*'Diesel Emissions'!C12</f>
        <v>0.0008294882824050561</v>
      </c>
      <c r="D26" s="105" t="s">
        <v>473</v>
      </c>
      <c r="E26">
        <v>2</v>
      </c>
    </row>
    <row r="27" spans="1:5" ht="15.75">
      <c r="A27" s="106" t="s">
        <v>458</v>
      </c>
      <c r="C27" s="180">
        <f>C13/1000*B4</f>
        <v>4.7421717522961905E-08</v>
      </c>
      <c r="D27" s="105" t="s">
        <v>473</v>
      </c>
      <c r="E27">
        <v>2</v>
      </c>
    </row>
    <row r="28" spans="1:5" ht="15.75">
      <c r="A28" s="106" t="s">
        <v>459</v>
      </c>
      <c r="C28" s="180">
        <f>C14/1000*B4</f>
        <v>2.125801130339672E-08</v>
      </c>
      <c r="D28" s="105" t="s">
        <v>473</v>
      </c>
      <c r="E28">
        <v>2</v>
      </c>
    </row>
    <row r="29" spans="1:5" ht="12.75">
      <c r="A29" s="108" t="s">
        <v>452</v>
      </c>
      <c r="C29" s="180">
        <f>C15*Conversions!D6*B4/1000</f>
        <v>5.101922712815213E-07</v>
      </c>
      <c r="D29" s="105" t="s">
        <v>473</v>
      </c>
      <c r="E29" s="47" t="s">
        <v>605</v>
      </c>
    </row>
    <row r="30" spans="1:5" ht="12.75">
      <c r="A30" s="108" t="s">
        <v>450</v>
      </c>
      <c r="C30" s="180">
        <f>C16*Conversions!D6*B4/1000</f>
        <v>1.7006409042717375E-08</v>
      </c>
      <c r="D30" s="105" t="s">
        <v>473</v>
      </c>
      <c r="E30" s="47" t="s">
        <v>605</v>
      </c>
    </row>
    <row r="31" spans="1:5" ht="12.75">
      <c r="A31" s="108" t="s">
        <v>464</v>
      </c>
      <c r="C31" s="180">
        <f>C17*Conversions!D6*B4/1000</f>
        <v>2.3808972659804327E-07</v>
      </c>
      <c r="D31" s="105" t="s">
        <v>473</v>
      </c>
      <c r="E31" s="47" t="s">
        <v>605</v>
      </c>
    </row>
    <row r="32" spans="1:5" ht="12.75">
      <c r="A32" s="108" t="s">
        <v>451</v>
      </c>
      <c r="C32" s="180">
        <f>C18*Conversions!D7*B4/1000</f>
        <v>4.4385869543124095E-06</v>
      </c>
      <c r="D32" s="105" t="s">
        <v>473</v>
      </c>
      <c r="E32" s="47" t="s">
        <v>605</v>
      </c>
    </row>
    <row r="33" spans="1:5" ht="15.75">
      <c r="A33" s="105" t="s">
        <v>461</v>
      </c>
      <c r="C33" s="180">
        <f>C19*B4</f>
        <v>7.820401024901293E-09</v>
      </c>
      <c r="D33" s="105" t="s">
        <v>473</v>
      </c>
      <c r="E33">
        <v>2</v>
      </c>
    </row>
    <row r="34" spans="1:5" ht="12.75">
      <c r="A34" s="105" t="s">
        <v>460</v>
      </c>
      <c r="C34" s="180">
        <f>C20/1000*B5</f>
        <v>3.404513809537546E-08</v>
      </c>
      <c r="D34" s="105" t="s">
        <v>473</v>
      </c>
      <c r="E34">
        <v>2</v>
      </c>
    </row>
    <row r="35" spans="1:5" ht="12.75">
      <c r="A35" s="105" t="s">
        <v>463</v>
      </c>
      <c r="C35" s="180">
        <f>C21/10^12/Conversions!D5*B5*1000</f>
        <v>4.080815241012765E-14</v>
      </c>
      <c r="D35" s="105" t="s">
        <v>473</v>
      </c>
      <c r="E35">
        <v>2</v>
      </c>
    </row>
    <row r="37" ht="15">
      <c r="A37" s="126" t="s">
        <v>467</v>
      </c>
    </row>
    <row r="38" ht="12.75">
      <c r="I38" t="s">
        <v>501</v>
      </c>
    </row>
    <row r="47" spans="2:3" ht="12.75">
      <c r="B47" s="49">
        <v>0.11</v>
      </c>
      <c r="C47" t="s">
        <v>383</v>
      </c>
    </row>
    <row r="63" spans="1:9" ht="15">
      <c r="A63" s="126" t="s">
        <v>466</v>
      </c>
      <c r="I63" t="s">
        <v>503</v>
      </c>
    </row>
    <row r="73" spans="3:4" ht="12.75">
      <c r="C73" s="91" t="s">
        <v>379</v>
      </c>
      <c r="D73" s="91" t="s">
        <v>380</v>
      </c>
    </row>
    <row r="74" spans="3:4" ht="12.75">
      <c r="C74" s="86">
        <v>0.15</v>
      </c>
      <c r="D74" s="86">
        <v>19</v>
      </c>
    </row>
    <row r="75" spans="3:4" ht="12.75">
      <c r="C75" s="86">
        <v>0.4</v>
      </c>
      <c r="D75" s="86">
        <v>1</v>
      </c>
    </row>
    <row r="76" spans="3:4" ht="12.75">
      <c r="C76" s="92">
        <v>0.034</v>
      </c>
      <c r="D76" s="92">
        <v>1</v>
      </c>
    </row>
    <row r="77" spans="2:4" ht="12.75">
      <c r="B77" s="1" t="s">
        <v>381</v>
      </c>
      <c r="C77" s="172">
        <f>(C74*D74+C75*D75+C76*D76)/(D76+D75+D74)</f>
        <v>0.15638095238095237</v>
      </c>
      <c r="D77" s="1">
        <f>SUM(D74:D76)</f>
        <v>21</v>
      </c>
    </row>
    <row r="78" ht="12.75">
      <c r="B78" t="s">
        <v>382</v>
      </c>
    </row>
    <row r="83" ht="12.75">
      <c r="I83" t="s">
        <v>502</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3"/>
  <dimension ref="A1:CV98"/>
  <sheetViews>
    <sheetView zoomScalePageLayoutView="0" workbookViewId="0" topLeftCell="A1">
      <selection activeCell="A1" sqref="A1"/>
    </sheetView>
  </sheetViews>
  <sheetFormatPr defaultColWidth="9.140625" defaultRowHeight="12.75"/>
  <cols>
    <col min="9" max="9" width="9.140625" style="174" customWidth="1"/>
    <col min="10" max="10" width="15.140625" style="261" customWidth="1"/>
    <col min="11" max="11" width="12.8515625" style="47" bestFit="1" customWidth="1"/>
    <col min="12" max="16" width="9.140625" style="47" customWidth="1"/>
    <col min="17" max="17" width="13.8515625" style="47" bestFit="1" customWidth="1"/>
    <col min="18" max="18" width="3.57421875" style="262" customWidth="1"/>
    <col min="19" max="19" width="24.57421875" style="197" customWidth="1"/>
    <col min="20" max="20" width="12.00390625" style="197" customWidth="1"/>
    <col min="21" max="21" width="10.28125" style="197" bestFit="1" customWidth="1"/>
    <col min="22" max="22" width="20.7109375" style="197" bestFit="1" customWidth="1"/>
    <col min="23" max="23" width="10.8515625" style="197" customWidth="1"/>
    <col min="24" max="24" width="19.421875" style="197" customWidth="1"/>
    <col min="25" max="25" width="16.8515625" style="197" bestFit="1" customWidth="1"/>
    <col min="26" max="26" width="14.8515625" style="197" bestFit="1" customWidth="1"/>
    <col min="27" max="27" width="3.57421875" style="262" customWidth="1"/>
    <col min="28" max="28" width="21.8515625" style="47" bestFit="1" customWidth="1"/>
    <col min="29" max="29" width="10.00390625" style="47" bestFit="1" customWidth="1"/>
    <col min="30" max="30" width="9.140625" style="47" customWidth="1"/>
    <col min="31" max="31" width="12.8515625" style="47" bestFit="1" customWidth="1"/>
    <col min="32" max="34" width="9.140625" style="47" customWidth="1"/>
    <col min="35" max="35" width="9.8515625" style="197" customWidth="1"/>
    <col min="36" max="36" width="3.57421875" style="262" customWidth="1"/>
    <col min="37" max="37" width="21.8515625" style="47" bestFit="1" customWidth="1"/>
    <col min="38" max="38" width="11.7109375" style="47" bestFit="1" customWidth="1"/>
    <col min="39" max="39" width="11.28125" style="47" bestFit="1" customWidth="1"/>
    <col min="40" max="40" width="22.8515625" style="47" bestFit="1" customWidth="1"/>
    <col min="41" max="41" width="9.140625" style="47" customWidth="1"/>
    <col min="42" max="42" width="5.00390625" style="47" bestFit="1" customWidth="1"/>
    <col min="43" max="43" width="5.28125" style="47" bestFit="1" customWidth="1"/>
    <col min="44" max="44" width="9.140625" style="197" customWidth="1"/>
    <col min="45" max="45" width="3.57421875" style="262" customWidth="1"/>
    <col min="46" max="46" width="21.8515625" style="47" bestFit="1" customWidth="1"/>
    <col min="47" max="47" width="14.00390625" style="47" bestFit="1" customWidth="1"/>
    <col min="48" max="48" width="11.28125" style="47" bestFit="1" customWidth="1"/>
    <col min="49" max="49" width="19.00390625" style="47" bestFit="1" customWidth="1"/>
    <col min="50" max="50" width="9.140625" style="47" customWidth="1"/>
    <col min="51" max="51" width="4.00390625" style="47" bestFit="1" customWidth="1"/>
    <col min="52" max="52" width="5.28125" style="47" bestFit="1" customWidth="1"/>
    <col min="53" max="53" width="9.140625" style="197" customWidth="1"/>
    <col min="54" max="54" width="3.57421875" style="262" customWidth="1"/>
    <col min="55" max="55" width="17.8515625" style="47" customWidth="1"/>
    <col min="56" max="56" width="16.421875" style="47" customWidth="1"/>
    <col min="57" max="57" width="9.140625" style="47" customWidth="1"/>
    <col min="58" max="58" width="17.8515625" style="47" customWidth="1"/>
    <col min="59" max="61" width="9.140625" style="47" customWidth="1"/>
    <col min="62" max="62" width="9.140625" style="197" customWidth="1"/>
    <col min="63" max="63" width="3.57421875" style="262" customWidth="1"/>
    <col min="64" max="70" width="9.140625" style="47" customWidth="1"/>
    <col min="71" max="71" width="9.140625" style="197" customWidth="1"/>
    <col min="72" max="72" width="3.57421875" style="262" customWidth="1"/>
    <col min="73" max="73" width="21.8515625" style="47" bestFit="1" customWidth="1"/>
    <col min="74" max="74" width="22.00390625" style="47" bestFit="1" customWidth="1"/>
    <col min="75" max="75" width="11.28125" style="47" bestFit="1" customWidth="1"/>
    <col min="76" max="76" width="19.00390625" style="47" bestFit="1" customWidth="1"/>
    <col min="77" max="79" width="9.140625" style="47" customWidth="1"/>
    <col min="80" max="80" width="13.7109375" style="197" bestFit="1" customWidth="1"/>
    <col min="81" max="81" width="3.57421875" style="262" customWidth="1"/>
    <col min="82" max="82" width="21.8515625" style="47" bestFit="1" customWidth="1"/>
    <col min="83" max="83" width="22.00390625" style="47" bestFit="1" customWidth="1"/>
    <col min="84" max="84" width="11.28125" style="47" bestFit="1" customWidth="1"/>
    <col min="85" max="85" width="19.00390625" style="47" bestFit="1" customWidth="1"/>
    <col min="86" max="88" width="9.140625" style="47" customWidth="1"/>
    <col min="89" max="89" width="10.00390625" style="197" bestFit="1" customWidth="1"/>
    <col min="90" max="90" width="3.57421875" style="262" customWidth="1"/>
    <col min="91" max="91" width="21.8515625" style="47" bestFit="1" customWidth="1"/>
    <col min="92" max="92" width="13.00390625" style="47" customWidth="1"/>
    <col min="93" max="93" width="11.28125" style="47" bestFit="1" customWidth="1"/>
    <col min="94" max="94" width="19.00390625" style="47" bestFit="1" customWidth="1"/>
    <col min="95" max="97" width="9.140625" style="47" customWidth="1"/>
    <col min="98" max="98" width="10.57421875" style="197" bestFit="1" customWidth="1"/>
    <col min="99" max="100" width="9.140625" style="47" customWidth="1"/>
  </cols>
  <sheetData>
    <row r="1" spans="1:98" ht="20.25">
      <c r="A1" s="47"/>
      <c r="D1" s="161" t="s">
        <v>796</v>
      </c>
      <c r="I1" s="173"/>
      <c r="L1" s="1" t="s">
        <v>305</v>
      </c>
      <c r="S1" s="197" t="s">
        <v>306</v>
      </c>
      <c r="T1" s="197" t="s">
        <v>306</v>
      </c>
      <c r="U1" s="197" t="s">
        <v>306</v>
      </c>
      <c r="V1" s="197" t="s">
        <v>306</v>
      </c>
      <c r="W1" s="197" t="s">
        <v>306</v>
      </c>
      <c r="X1" s="197" t="s">
        <v>306</v>
      </c>
      <c r="Y1" s="197" t="s">
        <v>306</v>
      </c>
      <c r="Z1" s="197" t="s">
        <v>142</v>
      </c>
      <c r="AI1" s="197" t="s">
        <v>306</v>
      </c>
      <c r="AR1" s="197" t="s">
        <v>306</v>
      </c>
      <c r="BA1" s="197" t="s">
        <v>306</v>
      </c>
      <c r="BJ1" s="197" t="s">
        <v>306</v>
      </c>
      <c r="BS1" s="197" t="s">
        <v>306</v>
      </c>
      <c r="CB1" s="197" t="s">
        <v>306</v>
      </c>
      <c r="CK1" s="197" t="s">
        <v>306</v>
      </c>
      <c r="CT1" s="197" t="s">
        <v>306</v>
      </c>
    </row>
    <row r="2" spans="1:98" ht="25.5">
      <c r="A2" s="314" t="s">
        <v>759</v>
      </c>
      <c r="K2" s="1" t="s">
        <v>307</v>
      </c>
      <c r="L2" s="60" t="s">
        <v>308</v>
      </c>
      <c r="S2" s="61" t="s">
        <v>309</v>
      </c>
      <c r="T2" s="62" t="s">
        <v>308</v>
      </c>
      <c r="AB2" s="1" t="s">
        <v>310</v>
      </c>
      <c r="AC2" s="60" t="s">
        <v>308</v>
      </c>
      <c r="AI2" s="4" t="s">
        <v>311</v>
      </c>
      <c r="AK2" s="63" t="s">
        <v>312</v>
      </c>
      <c r="AL2" s="60" t="s">
        <v>308</v>
      </c>
      <c r="AR2" s="4" t="s">
        <v>313</v>
      </c>
      <c r="AT2" s="63" t="s">
        <v>11</v>
      </c>
      <c r="AU2" s="60" t="s">
        <v>308</v>
      </c>
      <c r="BA2" s="4" t="s">
        <v>314</v>
      </c>
      <c r="BC2" s="63" t="s">
        <v>315</v>
      </c>
      <c r="BD2" s="60" t="s">
        <v>308</v>
      </c>
      <c r="BJ2" s="4" t="s">
        <v>316</v>
      </c>
      <c r="BL2" s="1" t="s">
        <v>317</v>
      </c>
      <c r="BM2" s="60" t="s">
        <v>308</v>
      </c>
      <c r="BS2" s="4" t="s">
        <v>317</v>
      </c>
      <c r="BU2" s="1" t="s">
        <v>318</v>
      </c>
      <c r="BV2" s="60" t="s">
        <v>308</v>
      </c>
      <c r="CB2" s="4" t="s">
        <v>318</v>
      </c>
      <c r="CD2" s="1" t="s">
        <v>319</v>
      </c>
      <c r="CE2" s="60" t="s">
        <v>308</v>
      </c>
      <c r="CK2" s="4" t="s">
        <v>319</v>
      </c>
      <c r="CM2" s="63" t="s">
        <v>320</v>
      </c>
      <c r="CN2" s="60" t="s">
        <v>308</v>
      </c>
      <c r="CT2" s="4" t="s">
        <v>321</v>
      </c>
    </row>
    <row r="3" spans="8:98" ht="38.25">
      <c r="H3" s="176"/>
      <c r="I3" s="167"/>
      <c r="J3" s="64" t="s">
        <v>322</v>
      </c>
      <c r="K3" s="46" t="s">
        <v>323</v>
      </c>
      <c r="L3" s="46" t="s">
        <v>324</v>
      </c>
      <c r="M3" s="46" t="s">
        <v>325</v>
      </c>
      <c r="N3" s="46" t="s">
        <v>323</v>
      </c>
      <c r="O3" s="46" t="s">
        <v>613</v>
      </c>
      <c r="P3" s="46" t="s">
        <v>323</v>
      </c>
      <c r="Q3" s="46" t="s">
        <v>325</v>
      </c>
      <c r="S3" s="197" t="s">
        <v>326</v>
      </c>
      <c r="T3" s="197" t="s">
        <v>326</v>
      </c>
      <c r="U3" s="197" t="s">
        <v>327</v>
      </c>
      <c r="V3" s="197" t="s">
        <v>326</v>
      </c>
      <c r="W3" s="197" t="s">
        <v>328</v>
      </c>
      <c r="X3" s="197" t="s">
        <v>326</v>
      </c>
      <c r="Y3" s="197" t="s">
        <v>327</v>
      </c>
      <c r="Z3" s="61" t="s">
        <v>329</v>
      </c>
      <c r="AB3" s="47" t="s">
        <v>305</v>
      </c>
      <c r="AI3" s="61" t="s">
        <v>330</v>
      </c>
      <c r="AK3" s="47" t="s">
        <v>305</v>
      </c>
      <c r="AR3" s="61" t="s">
        <v>330</v>
      </c>
      <c r="AT3" s="47" t="s">
        <v>305</v>
      </c>
      <c r="BA3" s="61" t="s">
        <v>330</v>
      </c>
      <c r="BC3" s="47" t="s">
        <v>305</v>
      </c>
      <c r="BJ3" s="61" t="s">
        <v>330</v>
      </c>
      <c r="BL3" s="47" t="s">
        <v>305</v>
      </c>
      <c r="BS3" s="4" t="s">
        <v>304</v>
      </c>
      <c r="BU3" s="47" t="s">
        <v>305</v>
      </c>
      <c r="CB3" s="61" t="s">
        <v>330</v>
      </c>
      <c r="CD3" s="47" t="s">
        <v>305</v>
      </c>
      <c r="CK3" s="61" t="s">
        <v>330</v>
      </c>
      <c r="CM3" s="47" t="s">
        <v>305</v>
      </c>
      <c r="CT3" s="61" t="s">
        <v>330</v>
      </c>
    </row>
    <row r="4" spans="1:100" s="65" customFormat="1" ht="13.5" thickBot="1">
      <c r="A4" s="175"/>
      <c r="B4" s="175"/>
      <c r="C4" s="175"/>
      <c r="D4" s="175"/>
      <c r="E4" s="175"/>
      <c r="F4" s="175"/>
      <c r="G4" s="175"/>
      <c r="H4" s="177"/>
      <c r="I4" s="263" t="s">
        <v>331</v>
      </c>
      <c r="J4" s="264" t="s">
        <v>157</v>
      </c>
      <c r="K4" s="263" t="s">
        <v>293</v>
      </c>
      <c r="L4" s="263" t="s">
        <v>332</v>
      </c>
      <c r="M4" s="263" t="s">
        <v>333</v>
      </c>
      <c r="N4" s="263" t="s">
        <v>294</v>
      </c>
      <c r="O4" s="263" t="s">
        <v>334</v>
      </c>
      <c r="P4" s="263" t="s">
        <v>295</v>
      </c>
      <c r="Q4" s="263" t="s">
        <v>335</v>
      </c>
      <c r="R4" s="265"/>
      <c r="S4" s="266" t="s">
        <v>293</v>
      </c>
      <c r="T4" s="266" t="s">
        <v>332</v>
      </c>
      <c r="U4" s="266" t="s">
        <v>333</v>
      </c>
      <c r="V4" s="266" t="s">
        <v>294</v>
      </c>
      <c r="W4" s="266" t="s">
        <v>334</v>
      </c>
      <c r="X4" s="266" t="s">
        <v>295</v>
      </c>
      <c r="Y4" s="266" t="s">
        <v>335</v>
      </c>
      <c r="Z4" s="266"/>
      <c r="AA4" s="265"/>
      <c r="AB4" s="263" t="s">
        <v>293</v>
      </c>
      <c r="AC4" s="263" t="s">
        <v>332</v>
      </c>
      <c r="AD4" s="263" t="s">
        <v>333</v>
      </c>
      <c r="AE4" s="263" t="s">
        <v>294</v>
      </c>
      <c r="AF4" s="263" t="s">
        <v>334</v>
      </c>
      <c r="AG4" s="263" t="s">
        <v>295</v>
      </c>
      <c r="AH4" s="263" t="s">
        <v>335</v>
      </c>
      <c r="AI4" s="266" t="s">
        <v>336</v>
      </c>
      <c r="AJ4" s="265"/>
      <c r="AK4" s="263" t="s">
        <v>293</v>
      </c>
      <c r="AL4" s="263" t="s">
        <v>332</v>
      </c>
      <c r="AM4" s="263" t="s">
        <v>333</v>
      </c>
      <c r="AN4" s="263" t="s">
        <v>294</v>
      </c>
      <c r="AO4" s="263" t="s">
        <v>334</v>
      </c>
      <c r="AP4" s="263" t="s">
        <v>295</v>
      </c>
      <c r="AQ4" s="263" t="s">
        <v>335</v>
      </c>
      <c r="AR4" s="266" t="s">
        <v>336</v>
      </c>
      <c r="AS4" s="265"/>
      <c r="AT4" s="263" t="s">
        <v>293</v>
      </c>
      <c r="AU4" s="263" t="s">
        <v>332</v>
      </c>
      <c r="AV4" s="263" t="s">
        <v>333</v>
      </c>
      <c r="AW4" s="263" t="s">
        <v>294</v>
      </c>
      <c r="AX4" s="263" t="s">
        <v>334</v>
      </c>
      <c r="AY4" s="263" t="s">
        <v>295</v>
      </c>
      <c r="AZ4" s="263" t="s">
        <v>335</v>
      </c>
      <c r="BA4" s="266" t="s">
        <v>336</v>
      </c>
      <c r="BB4" s="265"/>
      <c r="BC4" s="263" t="s">
        <v>293</v>
      </c>
      <c r="BD4" s="263" t="s">
        <v>332</v>
      </c>
      <c r="BE4" s="263" t="s">
        <v>333</v>
      </c>
      <c r="BF4" s="263" t="s">
        <v>294</v>
      </c>
      <c r="BG4" s="263" t="s">
        <v>334</v>
      </c>
      <c r="BH4" s="263" t="s">
        <v>295</v>
      </c>
      <c r="BI4" s="263" t="s">
        <v>335</v>
      </c>
      <c r="BJ4" s="266" t="s">
        <v>336</v>
      </c>
      <c r="BK4" s="265"/>
      <c r="BL4" s="263" t="s">
        <v>293</v>
      </c>
      <c r="BM4" s="263" t="s">
        <v>332</v>
      </c>
      <c r="BN4" s="263" t="s">
        <v>333</v>
      </c>
      <c r="BO4" s="263" t="s">
        <v>294</v>
      </c>
      <c r="BP4" s="263" t="s">
        <v>334</v>
      </c>
      <c r="BQ4" s="263" t="s">
        <v>295</v>
      </c>
      <c r="BR4" s="263" t="s">
        <v>335</v>
      </c>
      <c r="BS4" s="266"/>
      <c r="BT4" s="265"/>
      <c r="BU4" s="263" t="s">
        <v>293</v>
      </c>
      <c r="BV4" s="263" t="s">
        <v>332</v>
      </c>
      <c r="BW4" s="263" t="s">
        <v>333</v>
      </c>
      <c r="BX4" s="263" t="s">
        <v>294</v>
      </c>
      <c r="BY4" s="263" t="s">
        <v>334</v>
      </c>
      <c r="BZ4" s="263" t="s">
        <v>295</v>
      </c>
      <c r="CA4" s="263" t="s">
        <v>335</v>
      </c>
      <c r="CB4" s="266" t="s">
        <v>337</v>
      </c>
      <c r="CC4" s="265"/>
      <c r="CD4" s="263" t="s">
        <v>293</v>
      </c>
      <c r="CE4" s="263" t="s">
        <v>332</v>
      </c>
      <c r="CF4" s="263" t="s">
        <v>333</v>
      </c>
      <c r="CG4" s="263" t="s">
        <v>294</v>
      </c>
      <c r="CH4" s="263" t="s">
        <v>334</v>
      </c>
      <c r="CI4" s="263" t="s">
        <v>295</v>
      </c>
      <c r="CJ4" s="263" t="s">
        <v>335</v>
      </c>
      <c r="CK4" s="266" t="s">
        <v>338</v>
      </c>
      <c r="CL4" s="265"/>
      <c r="CM4" s="263" t="s">
        <v>293</v>
      </c>
      <c r="CN4" s="263" t="s">
        <v>332</v>
      </c>
      <c r="CO4" s="263" t="s">
        <v>333</v>
      </c>
      <c r="CP4" s="263" t="s">
        <v>294</v>
      </c>
      <c r="CQ4" s="263" t="s">
        <v>334</v>
      </c>
      <c r="CR4" s="263" t="s">
        <v>295</v>
      </c>
      <c r="CS4" s="263" t="s">
        <v>335</v>
      </c>
      <c r="CT4" s="266" t="s">
        <v>336</v>
      </c>
      <c r="CU4" s="263"/>
      <c r="CV4" s="263"/>
    </row>
    <row r="5" spans="1:98" ht="12.75">
      <c r="A5" s="86"/>
      <c r="B5" s="86"/>
      <c r="C5" s="86"/>
      <c r="D5" s="86"/>
      <c r="E5" s="86"/>
      <c r="F5" s="86"/>
      <c r="G5" s="86"/>
      <c r="H5" s="176"/>
      <c r="I5" s="167" t="s">
        <v>339</v>
      </c>
      <c r="J5" s="261">
        <v>2008</v>
      </c>
      <c r="K5" s="51">
        <v>0</v>
      </c>
      <c r="L5" s="51">
        <v>0.49</v>
      </c>
      <c r="M5" s="51">
        <v>0</v>
      </c>
      <c r="N5" s="51">
        <v>4.9</v>
      </c>
      <c r="O5" s="51">
        <v>0</v>
      </c>
      <c r="P5" s="51">
        <v>0</v>
      </c>
      <c r="Q5" s="51">
        <v>0</v>
      </c>
      <c r="S5" s="267">
        <f aca="true" t="shared" si="0" ref="S5:Y7">(K5*1000000)*3.78541178</f>
        <v>0</v>
      </c>
      <c r="T5" s="267">
        <f t="shared" si="0"/>
        <v>1854851.7722</v>
      </c>
      <c r="U5" s="267">
        <f t="shared" si="0"/>
        <v>0</v>
      </c>
      <c r="V5" s="267">
        <f t="shared" si="0"/>
        <v>18548517.722</v>
      </c>
      <c r="W5" s="267">
        <f t="shared" si="0"/>
        <v>0</v>
      </c>
      <c r="X5" s="267">
        <f t="shared" si="0"/>
        <v>0</v>
      </c>
      <c r="Y5" s="267">
        <f t="shared" si="0"/>
        <v>0</v>
      </c>
      <c r="Z5" s="267">
        <f aca="true" t="shared" si="1" ref="Z5:Z44">SUM(S5:Y5)</f>
        <v>20403369.4942</v>
      </c>
      <c r="AB5" s="268"/>
      <c r="AC5" s="268">
        <v>22</v>
      </c>
      <c r="AE5" s="268">
        <v>26</v>
      </c>
      <c r="AF5" s="268"/>
      <c r="AG5" s="268"/>
      <c r="AH5" s="268"/>
      <c r="AI5" s="197">
        <f aca="true" t="shared" si="2" ref="AI5:AI45">((($S5*AB5)+($T5*AC5)+($U5*AD5)+($V5*AE5)+($W5*AF5)+($X5*AG5)+($Y5*AH5))/1000000)*30.4</f>
        <v>15901.273272716156</v>
      </c>
      <c r="AK5" s="47">
        <v>0.56</v>
      </c>
      <c r="AN5" s="47">
        <v>0.29</v>
      </c>
      <c r="AR5" s="197">
        <f>((($S5*AK5)+($T5*AL5)+($U5*AM5)+($V5*AN5)+($W5*AO5)+($X5*AP5)+($Y5*AQ5))/1000000)*30.4</f>
        <v>163.523732237152</v>
      </c>
      <c r="AT5" s="47">
        <v>220</v>
      </c>
      <c r="AW5" s="47">
        <v>274</v>
      </c>
      <c r="BA5" s="197">
        <f>((($S5*AT5)+($T5*AU5)+($U5*AV5)+($V5*AW5)+($W5*AX5)+($X5*AY5)+($Y5*AZ5))/1000000)*30.4</f>
        <v>154501.7332171712</v>
      </c>
      <c r="BC5" s="47">
        <v>-216</v>
      </c>
      <c r="BF5" s="47">
        <v>-270</v>
      </c>
      <c r="BJ5" s="197">
        <f>((($S5*BC5)+($T5*BD5)+($U5*BE5)+($V5*BF5)+($W5*BG5)+($X5*BH5)+($Y5*BI5))/1000000)*30.4</f>
        <v>-152246.23346217597</v>
      </c>
      <c r="BL5" s="47">
        <v>7.85</v>
      </c>
      <c r="BO5" s="47">
        <v>8.12</v>
      </c>
      <c r="BU5" s="47">
        <v>4901</v>
      </c>
      <c r="BX5" s="47">
        <v>9182</v>
      </c>
      <c r="CB5" s="197">
        <f>((($S5*BU5)+($T5*BV5)+($U5*BW5)+($V5*BX5)+($W5*BY5)+($X5*BZ5)+($Y5*CA5))/1000000)*30.4</f>
        <v>5177499.687591481</v>
      </c>
      <c r="CD5" s="47">
        <v>1677</v>
      </c>
      <c r="CG5" s="47">
        <v>634</v>
      </c>
      <c r="CK5" s="197">
        <f>((($S5*CD5)+($T5*CE5)+($U5*CF5)+($V5*CG5)+($W5*CH5)+($X5*CI5)+($Y5*CJ5))/1000000)*30.4</f>
        <v>357496.7111667392</v>
      </c>
      <c r="CT5" s="267">
        <f>((($S5*CM5)+($T5*CN5)+($U5*CO5)+($V5*CP5)+($W5*CQ5)+($X5*CR5)+($Y5*CS5))/1000000)*30.4</f>
        <v>0</v>
      </c>
    </row>
    <row r="6" spans="2:98" ht="12.75">
      <c r="B6" s="86"/>
      <c r="C6" s="86"/>
      <c r="D6" s="86"/>
      <c r="E6" s="86"/>
      <c r="F6" s="86"/>
      <c r="G6" s="86"/>
      <c r="H6" s="176"/>
      <c r="I6" s="167" t="s">
        <v>340</v>
      </c>
      <c r="J6" s="261">
        <v>2008</v>
      </c>
      <c r="K6" s="51">
        <v>0.18</v>
      </c>
      <c r="L6" s="51">
        <v>0.49</v>
      </c>
      <c r="M6" s="51">
        <v>0</v>
      </c>
      <c r="N6" s="51">
        <v>4.9</v>
      </c>
      <c r="O6" s="51">
        <v>0</v>
      </c>
      <c r="P6" s="51">
        <v>0.16</v>
      </c>
      <c r="Q6" s="51">
        <v>0</v>
      </c>
      <c r="S6" s="267">
        <f t="shared" si="0"/>
        <v>681374.1204</v>
      </c>
      <c r="T6" s="267">
        <f t="shared" si="0"/>
        <v>1854851.7722</v>
      </c>
      <c r="U6" s="267">
        <f t="shared" si="0"/>
        <v>0</v>
      </c>
      <c r="V6" s="267">
        <f t="shared" si="0"/>
        <v>18548517.722</v>
      </c>
      <c r="W6" s="267">
        <f t="shared" si="0"/>
        <v>0</v>
      </c>
      <c r="X6" s="267">
        <f t="shared" si="0"/>
        <v>605665.8848</v>
      </c>
      <c r="Y6" s="267">
        <f t="shared" si="0"/>
        <v>0</v>
      </c>
      <c r="Z6" s="267">
        <f t="shared" si="1"/>
        <v>21690409.499399997</v>
      </c>
      <c r="AB6" s="268">
        <v>59</v>
      </c>
      <c r="AC6" s="268">
        <v>4</v>
      </c>
      <c r="AD6" s="268"/>
      <c r="AE6" s="268">
        <v>5</v>
      </c>
      <c r="AF6" s="268"/>
      <c r="AG6" s="268">
        <v>18</v>
      </c>
      <c r="AH6" s="268"/>
      <c r="AI6" s="197">
        <f t="shared" si="2"/>
        <v>4598.45766375552</v>
      </c>
      <c r="AK6" s="268">
        <v>0.67</v>
      </c>
      <c r="AL6" s="47">
        <v>0.43</v>
      </c>
      <c r="AN6" s="268">
        <v>0.24</v>
      </c>
      <c r="AP6" s="47">
        <v>0.65</v>
      </c>
      <c r="AR6" s="197">
        <f>((($S6*AK6)+($T6*AL6)+($U6*AM6)+($V6*AN6)+($W6*AO6)+($X6*AP6)+($Y6*AQ6))/1000000)*30.4</f>
        <v>185.42279363386558</v>
      </c>
      <c r="AT6" s="47">
        <v>70</v>
      </c>
      <c r="AU6" s="47">
        <v>88</v>
      </c>
      <c r="AW6" s="47">
        <v>122</v>
      </c>
      <c r="AY6" s="47">
        <v>70</v>
      </c>
      <c r="BA6" s="197">
        <f>((($S6*AT6)+($T6*AU6)+($U6*AV6)+($V6*AW6)+($W6*AX6)+($X6*AY6)+($Y6*AZ6))/1000000)*30.4</f>
        <v>76493.66311940862</v>
      </c>
      <c r="BC6" s="47">
        <v>-66</v>
      </c>
      <c r="BD6" s="47">
        <v>-82</v>
      </c>
      <c r="BF6" s="47">
        <v>-118</v>
      </c>
      <c r="BH6" s="47">
        <v>-66</v>
      </c>
      <c r="BJ6" s="197">
        <f>((($S6*BC6)+($T6*BD6)+($U6*BE6)+($V6*BF6)+($W6*BG6)+($X6*BH6)+($Y6*BI6))/1000000)*30.4</f>
        <v>-73743.33433653184</v>
      </c>
      <c r="BL6" s="47">
        <v>8.09</v>
      </c>
      <c r="BM6" s="47">
        <v>7.68</v>
      </c>
      <c r="BO6" s="47">
        <v>8.13</v>
      </c>
      <c r="BQ6" s="47">
        <v>7.93</v>
      </c>
      <c r="BU6" s="47">
        <v>92</v>
      </c>
      <c r="BV6" s="47">
        <v>1631</v>
      </c>
      <c r="BX6" s="47">
        <v>4449</v>
      </c>
      <c r="BZ6" s="47">
        <v>8</v>
      </c>
      <c r="CB6" s="197">
        <f>((($S6*BU6)+($T6*BV6)+($U6*BW6)+($V6*BX6)+($W6*BY6)+($X6*BZ6)+($Y6*CA6))/1000000)*30.4</f>
        <v>2602700.5700864587</v>
      </c>
      <c r="CD6" s="47">
        <v>60</v>
      </c>
      <c r="CE6" s="47">
        <v>1014</v>
      </c>
      <c r="CG6" s="47">
        <v>296</v>
      </c>
      <c r="CI6" s="47">
        <v>52</v>
      </c>
      <c r="CK6" s="197">
        <f>((($S6*CD6)+($T6*CE6)+($U6*CF6)+($V6*CG6)+($W6*CH6)+($X6*CI6)+($Y6*CJ6))/1000000)*30.4</f>
        <v>226284.16368507454</v>
      </c>
      <c r="CT6" s="267">
        <f>((($S6*CM6)+($T6*CN6)+($U6*CO6)+($V6*CP6)+($W6*CQ6)+($X6*CR6)+($Y6*CS6))/1000000)*30.4</f>
        <v>0</v>
      </c>
    </row>
    <row r="7" spans="8:98" ht="12.75">
      <c r="H7" s="176"/>
      <c r="I7" s="167" t="s">
        <v>341</v>
      </c>
      <c r="J7" s="261">
        <v>2008</v>
      </c>
      <c r="K7" s="51">
        <v>0.18</v>
      </c>
      <c r="L7" s="51">
        <v>0.49</v>
      </c>
      <c r="M7" s="51">
        <v>0.0072</v>
      </c>
      <c r="N7" s="51">
        <v>0</v>
      </c>
      <c r="O7" s="51">
        <v>0</v>
      </c>
      <c r="P7" s="51">
        <v>0.16</v>
      </c>
      <c r="Q7" s="51">
        <v>1.41</v>
      </c>
      <c r="S7" s="267">
        <f t="shared" si="0"/>
        <v>681374.1204</v>
      </c>
      <c r="T7" s="267">
        <f t="shared" si="0"/>
        <v>1854851.7722</v>
      </c>
      <c r="U7" s="267">
        <f t="shared" si="0"/>
        <v>27254.964816</v>
      </c>
      <c r="V7" s="267">
        <f t="shared" si="0"/>
        <v>0</v>
      </c>
      <c r="W7" s="267">
        <f t="shared" si="0"/>
        <v>0</v>
      </c>
      <c r="X7" s="267">
        <f t="shared" si="0"/>
        <v>605665.8848</v>
      </c>
      <c r="Y7" s="267">
        <f t="shared" si="0"/>
        <v>5337430.6098</v>
      </c>
      <c r="Z7" s="267">
        <f>SUM(S7:Y7)</f>
        <v>8506577.352016</v>
      </c>
      <c r="AB7" s="268">
        <v>22</v>
      </c>
      <c r="AC7" s="268">
        <v>14</v>
      </c>
      <c r="AD7" s="268">
        <v>14</v>
      </c>
      <c r="AE7" s="268"/>
      <c r="AF7" s="268"/>
      <c r="AG7" s="268">
        <v>18</v>
      </c>
      <c r="AH7" s="47">
        <v>23</v>
      </c>
      <c r="AI7" s="197">
        <f t="shared" si="2"/>
        <v>5320.079493532248</v>
      </c>
      <c r="AK7" s="268">
        <v>0.39</v>
      </c>
      <c r="AL7" s="47">
        <v>0.23</v>
      </c>
      <c r="AP7" s="47">
        <v>0.37</v>
      </c>
      <c r="AR7" s="197">
        <f aca="true" t="shared" si="3" ref="AR7:AR45">((($S7*AK7)+($T7*AL7)+($U7*AM7)+($V7*AN7)+($W7*AO7)+($X7*AP7)+($Y7*AQ7))/1000000)*30.4</f>
        <v>27.860025034915196</v>
      </c>
      <c r="AT7" s="47">
        <v>84</v>
      </c>
      <c r="AU7" s="47">
        <v>188</v>
      </c>
      <c r="AY7" s="47">
        <v>96</v>
      </c>
      <c r="BA7" s="197">
        <f aca="true" t="shared" si="4" ref="BA7:BA45">((($S7*AT7)+($T7*AU7)+($U7*AV7)+($V7*AW7)+($W7*AX7)+($X7*AY7)+($Y7*AZ7))/1000000)*30.4</f>
        <v>14108.381120531201</v>
      </c>
      <c r="BC7" s="47">
        <v>-78</v>
      </c>
      <c r="BD7" s="47">
        <v>-182</v>
      </c>
      <c r="BH7" s="47">
        <v>-92</v>
      </c>
      <c r="BJ7" s="197">
        <f>((($S7*BC7)+($T7*BD7)+($U7*BE7)+($V7*BF7)+($W7*BG7)+($X7*BH7)+($Y7*BI7))/1000000)*30.4</f>
        <v>-13572.12454612928</v>
      </c>
      <c r="BL7" s="47">
        <v>8.52</v>
      </c>
      <c r="BM7" s="47">
        <v>8.06</v>
      </c>
      <c r="BN7" s="47">
        <v>7.03</v>
      </c>
      <c r="BQ7" s="47">
        <v>8.21</v>
      </c>
      <c r="BR7" s="47">
        <v>7.1</v>
      </c>
      <c r="BU7" s="47">
        <v>108</v>
      </c>
      <c r="BV7" s="47">
        <v>3784</v>
      </c>
      <c r="BZ7" s="47">
        <v>11</v>
      </c>
      <c r="CB7" s="197">
        <f aca="true" t="shared" si="5" ref="CB7:CB45">((($S7*BU7)+($T7*BV7)+($U7*BW7)+($V7*BX7)+($W7*BY7)+($X7*BZ7)+($Y7*CA7))/1000000)*30.4</f>
        <v>215809.89900652028</v>
      </c>
      <c r="CD7" s="47">
        <v>73</v>
      </c>
      <c r="CE7" s="47">
        <v>1715</v>
      </c>
      <c r="CI7" s="47">
        <v>67</v>
      </c>
      <c r="CK7" s="197">
        <f aca="true" t="shared" si="6" ref="CK7:CK45">((($S7*CD7)+($T7*CE7)+($U7*CF7)+($V7*CG7)+($W7*CH7)+($X7*CI7)+($Y7*CJ7))/1000000)*30.4</f>
        <v>99450.27771757152</v>
      </c>
      <c r="CO7" s="47">
        <v>10</v>
      </c>
      <c r="CS7" s="47">
        <v>10</v>
      </c>
      <c r="CT7" s="267">
        <f>((($S7*CM7)+($T7*CN7)+($U7*CO7)+($V7*CP7)+($W7*CQ7)+($X7*CR7)+($Y7*CS7))/1000000)*30.4</f>
        <v>1630.864414683264</v>
      </c>
    </row>
    <row r="8" spans="9:98" ht="12.75">
      <c r="I8" s="174" t="s">
        <v>342</v>
      </c>
      <c r="J8" s="261">
        <v>2007</v>
      </c>
      <c r="K8" s="51">
        <v>0</v>
      </c>
      <c r="L8" s="51">
        <v>0</v>
      </c>
      <c r="M8" s="51">
        <v>0</v>
      </c>
      <c r="N8" s="51">
        <v>0</v>
      </c>
      <c r="O8" s="51">
        <v>0</v>
      </c>
      <c r="P8" s="51">
        <v>0.16</v>
      </c>
      <c r="Q8" s="51">
        <v>0</v>
      </c>
      <c r="S8" s="267">
        <f aca="true" t="shared" si="7" ref="S8:Y44">(K8*1000000)*3.78541178</f>
        <v>0</v>
      </c>
      <c r="T8" s="267">
        <f t="shared" si="7"/>
        <v>0</v>
      </c>
      <c r="U8" s="267">
        <f t="shared" si="7"/>
        <v>0</v>
      </c>
      <c r="V8" s="267">
        <f t="shared" si="7"/>
        <v>0</v>
      </c>
      <c r="W8" s="267">
        <f t="shared" si="7"/>
        <v>0</v>
      </c>
      <c r="X8" s="267">
        <f t="shared" si="7"/>
        <v>605665.8848</v>
      </c>
      <c r="Y8" s="267">
        <f t="shared" si="7"/>
        <v>0</v>
      </c>
      <c r="Z8" s="267">
        <f t="shared" si="1"/>
        <v>605665.8848</v>
      </c>
      <c r="AG8" s="47">
        <v>5</v>
      </c>
      <c r="AI8" s="197">
        <f t="shared" si="2"/>
        <v>92.0612144896</v>
      </c>
      <c r="AP8" s="47">
        <v>0.27</v>
      </c>
      <c r="AR8" s="197">
        <f t="shared" si="3"/>
        <v>4.9713055824384</v>
      </c>
      <c r="AY8" s="47">
        <v>138</v>
      </c>
      <c r="BA8" s="197">
        <f t="shared" si="4"/>
        <v>2540.88951991296</v>
      </c>
      <c r="BH8" s="47">
        <v>-132</v>
      </c>
      <c r="BJ8" s="197">
        <f>((($S8*BC8)+($T8*BD8)+($U8*BE8)+($V8*BF8)+($W8*BG8)+($X8*BH8)+($Y8*BI8))/1000000)*30.4</f>
        <v>-2430.41606252544</v>
      </c>
      <c r="BQ8" s="47">
        <v>7.8</v>
      </c>
      <c r="BZ8" s="47">
        <v>18</v>
      </c>
      <c r="CB8" s="197">
        <f t="shared" si="5"/>
        <v>331.42037216256</v>
      </c>
      <c r="CI8" s="47">
        <v>98</v>
      </c>
      <c r="CK8" s="197">
        <f t="shared" si="6"/>
        <v>1804.3998039961598</v>
      </c>
      <c r="CT8" s="267">
        <f aca="true" t="shared" si="8" ref="CT8:CT45">((($S8*CM8)+($T8*CN8)+($U8*CO8)+($V8*CP8)+($W8*CQ8)+($X8*CR8)+($Y8*CS8))/1000000)*30.4</f>
        <v>0</v>
      </c>
    </row>
    <row r="9" spans="9:98" ht="12.75">
      <c r="I9" s="174" t="s">
        <v>343</v>
      </c>
      <c r="J9" s="261">
        <v>2007</v>
      </c>
      <c r="K9" s="51">
        <v>0</v>
      </c>
      <c r="L9" s="51">
        <v>0</v>
      </c>
      <c r="M9" s="51">
        <v>0</v>
      </c>
      <c r="N9" s="51">
        <v>0</v>
      </c>
      <c r="O9" s="51">
        <v>0</v>
      </c>
      <c r="P9" s="51">
        <v>0</v>
      </c>
      <c r="Q9" s="51">
        <v>0</v>
      </c>
      <c r="S9" s="267">
        <f t="shared" si="7"/>
        <v>0</v>
      </c>
      <c r="T9" s="267">
        <f t="shared" si="7"/>
        <v>0</v>
      </c>
      <c r="U9" s="267">
        <f t="shared" si="7"/>
        <v>0</v>
      </c>
      <c r="V9" s="267">
        <f t="shared" si="7"/>
        <v>0</v>
      </c>
      <c r="W9" s="267">
        <f t="shared" si="7"/>
        <v>0</v>
      </c>
      <c r="X9" s="267">
        <f t="shared" si="7"/>
        <v>0</v>
      </c>
      <c r="Y9" s="267">
        <f t="shared" si="7"/>
        <v>0</v>
      </c>
      <c r="Z9" s="267">
        <f t="shared" si="1"/>
        <v>0</v>
      </c>
      <c r="AI9" s="197">
        <f t="shared" si="2"/>
        <v>0</v>
      </c>
      <c r="AR9" s="197">
        <f t="shared" si="3"/>
        <v>0</v>
      </c>
      <c r="BA9" s="197">
        <f t="shared" si="4"/>
        <v>0</v>
      </c>
      <c r="BJ9" s="197">
        <f aca="true" t="shared" si="9" ref="BJ9:BJ45">((($S9*BC9)+($T9*BD9)+($U9*BE9)+($V9*BF9)+($W9*BG9)+($X9*BH9)+($Y9*BI9))/1000000)*30.4</f>
        <v>0</v>
      </c>
      <c r="CB9" s="197">
        <f t="shared" si="5"/>
        <v>0</v>
      </c>
      <c r="CK9" s="197">
        <f t="shared" si="6"/>
        <v>0</v>
      </c>
      <c r="CT9" s="267">
        <f t="shared" si="8"/>
        <v>0</v>
      </c>
    </row>
    <row r="10" spans="9:98" ht="12.75">
      <c r="I10" s="174" t="s">
        <v>344</v>
      </c>
      <c r="J10" s="261">
        <v>2008</v>
      </c>
      <c r="K10" s="51">
        <v>0.18</v>
      </c>
      <c r="L10" s="51">
        <v>0</v>
      </c>
      <c r="M10" s="51">
        <v>0</v>
      </c>
      <c r="N10" s="51">
        <v>4.9</v>
      </c>
      <c r="O10" s="51">
        <v>0</v>
      </c>
      <c r="P10" s="51">
        <v>0</v>
      </c>
      <c r="Q10" s="51">
        <v>0.008</v>
      </c>
      <c r="S10" s="267">
        <f t="shared" si="7"/>
        <v>681374.1204</v>
      </c>
      <c r="T10" s="267">
        <f t="shared" si="7"/>
        <v>0</v>
      </c>
      <c r="U10" s="267">
        <f t="shared" si="7"/>
        <v>0</v>
      </c>
      <c r="V10" s="267">
        <f t="shared" si="7"/>
        <v>18548517.722</v>
      </c>
      <c r="W10" s="267">
        <f t="shared" si="7"/>
        <v>0</v>
      </c>
      <c r="X10" s="267">
        <f t="shared" si="7"/>
        <v>0</v>
      </c>
      <c r="Y10" s="267">
        <f t="shared" si="7"/>
        <v>30283.29424</v>
      </c>
      <c r="Z10" s="267">
        <f t="shared" si="1"/>
        <v>19260175.13664</v>
      </c>
      <c r="AB10" s="268">
        <v>10</v>
      </c>
      <c r="AE10" s="268">
        <v>8</v>
      </c>
      <c r="AH10" s="47">
        <v>11</v>
      </c>
      <c r="AI10" s="197">
        <f t="shared" si="2"/>
        <v>4728.263976185855</v>
      </c>
      <c r="AK10" s="47">
        <v>0.17</v>
      </c>
      <c r="AN10" s="47">
        <v>0.2</v>
      </c>
      <c r="AR10" s="197">
        <f t="shared" si="3"/>
        <v>116.2963292039872</v>
      </c>
      <c r="AT10" s="47">
        <v>114</v>
      </c>
      <c r="AW10" s="47">
        <v>298</v>
      </c>
      <c r="BA10" s="197">
        <f t="shared" si="4"/>
        <v>170396.10189880064</v>
      </c>
      <c r="BC10" s="47">
        <v>-111</v>
      </c>
      <c r="BF10" s="47">
        <v>-294</v>
      </c>
      <c r="BJ10" s="197">
        <f t="shared" si="9"/>
        <v>-168078.46082402495</v>
      </c>
      <c r="BO10" s="47">
        <v>8</v>
      </c>
      <c r="BR10" s="47">
        <v>7.37</v>
      </c>
      <c r="BX10" s="47">
        <v>8809</v>
      </c>
      <c r="CB10" s="197">
        <f t="shared" si="5"/>
        <v>4967174.335438179</v>
      </c>
      <c r="CD10" s="47">
        <v>235</v>
      </c>
      <c r="CG10" s="47">
        <v>613</v>
      </c>
      <c r="CK10" s="197">
        <f t="shared" si="6"/>
        <v>350523.074169152</v>
      </c>
      <c r="CS10" s="47">
        <v>24</v>
      </c>
      <c r="CT10" s="267">
        <f t="shared" si="8"/>
        <v>22.094691477504</v>
      </c>
    </row>
    <row r="11" spans="9:98" ht="12.75">
      <c r="I11" s="174" t="s">
        <v>345</v>
      </c>
      <c r="J11" s="261">
        <v>2007</v>
      </c>
      <c r="K11" s="51">
        <v>0</v>
      </c>
      <c r="L11" s="51">
        <v>0</v>
      </c>
      <c r="M11" s="51">
        <v>0</v>
      </c>
      <c r="N11" s="51">
        <v>0</v>
      </c>
      <c r="O11" s="51">
        <v>0</v>
      </c>
      <c r="P11" s="51">
        <v>0</v>
      </c>
      <c r="Q11" s="51">
        <v>0</v>
      </c>
      <c r="S11" s="267">
        <f t="shared" si="7"/>
        <v>0</v>
      </c>
      <c r="T11" s="267">
        <f t="shared" si="7"/>
        <v>0</v>
      </c>
      <c r="U11" s="267">
        <f t="shared" si="7"/>
        <v>0</v>
      </c>
      <c r="V11" s="267">
        <f t="shared" si="7"/>
        <v>0</v>
      </c>
      <c r="W11" s="267">
        <f t="shared" si="7"/>
        <v>0</v>
      </c>
      <c r="X11" s="267">
        <f t="shared" si="7"/>
        <v>0</v>
      </c>
      <c r="Y11" s="267">
        <f t="shared" si="7"/>
        <v>0</v>
      </c>
      <c r="Z11" s="267">
        <f t="shared" si="1"/>
        <v>0</v>
      </c>
      <c r="AB11" s="268"/>
      <c r="AI11" s="197">
        <f t="shared" si="2"/>
        <v>0</v>
      </c>
      <c r="AR11" s="197">
        <f t="shared" si="3"/>
        <v>0</v>
      </c>
      <c r="BA11" s="197">
        <f t="shared" si="4"/>
        <v>0</v>
      </c>
      <c r="BJ11" s="197">
        <f t="shared" si="9"/>
        <v>0</v>
      </c>
      <c r="CB11" s="197">
        <f t="shared" si="5"/>
        <v>0</v>
      </c>
      <c r="CK11" s="197">
        <f t="shared" si="6"/>
        <v>0</v>
      </c>
      <c r="CT11" s="267">
        <f t="shared" si="8"/>
        <v>0</v>
      </c>
    </row>
    <row r="12" spans="9:98" ht="12.75">
      <c r="I12" s="174" t="s">
        <v>346</v>
      </c>
      <c r="J12" s="261">
        <v>2007</v>
      </c>
      <c r="K12" s="51">
        <v>0</v>
      </c>
      <c r="L12" s="51">
        <v>0</v>
      </c>
      <c r="M12" s="51">
        <v>0</v>
      </c>
      <c r="N12" s="51">
        <v>0</v>
      </c>
      <c r="O12" s="51">
        <v>0</v>
      </c>
      <c r="P12" s="51">
        <v>0</v>
      </c>
      <c r="Q12" s="51">
        <v>0</v>
      </c>
      <c r="S12" s="267">
        <f t="shared" si="7"/>
        <v>0</v>
      </c>
      <c r="T12" s="267">
        <f t="shared" si="7"/>
        <v>0</v>
      </c>
      <c r="U12" s="267">
        <f t="shared" si="7"/>
        <v>0</v>
      </c>
      <c r="V12" s="267">
        <f t="shared" si="7"/>
        <v>0</v>
      </c>
      <c r="W12" s="267">
        <f t="shared" si="7"/>
        <v>0</v>
      </c>
      <c r="X12" s="267">
        <f t="shared" si="7"/>
        <v>0</v>
      </c>
      <c r="Y12" s="267">
        <f t="shared" si="7"/>
        <v>0</v>
      </c>
      <c r="Z12" s="267">
        <f t="shared" si="1"/>
        <v>0</v>
      </c>
      <c r="AI12" s="197">
        <f t="shared" si="2"/>
        <v>0</v>
      </c>
      <c r="AR12" s="197">
        <f t="shared" si="3"/>
        <v>0</v>
      </c>
      <c r="BA12" s="197">
        <f t="shared" si="4"/>
        <v>0</v>
      </c>
      <c r="BJ12" s="197">
        <f t="shared" si="9"/>
        <v>0</v>
      </c>
      <c r="CB12" s="197">
        <f t="shared" si="5"/>
        <v>0</v>
      </c>
      <c r="CK12" s="197">
        <f t="shared" si="6"/>
        <v>0</v>
      </c>
      <c r="CT12" s="267">
        <f t="shared" si="8"/>
        <v>0</v>
      </c>
    </row>
    <row r="13" spans="1:98" ht="12.75">
      <c r="A13" s="167" t="s">
        <v>614</v>
      </c>
      <c r="I13" s="174" t="s">
        <v>347</v>
      </c>
      <c r="J13" s="261">
        <v>2007</v>
      </c>
      <c r="K13" s="51">
        <v>0.008</v>
      </c>
      <c r="L13" s="51">
        <v>0</v>
      </c>
      <c r="M13" s="51">
        <v>0</v>
      </c>
      <c r="N13" s="51">
        <v>0</v>
      </c>
      <c r="O13" s="51">
        <v>0</v>
      </c>
      <c r="P13" s="51">
        <v>0.006</v>
      </c>
      <c r="Q13" s="51">
        <v>0.006</v>
      </c>
      <c r="S13" s="267">
        <f t="shared" si="7"/>
        <v>30283.29424</v>
      </c>
      <c r="T13" s="267">
        <f t="shared" si="7"/>
        <v>0</v>
      </c>
      <c r="U13" s="267">
        <f t="shared" si="7"/>
        <v>0</v>
      </c>
      <c r="V13" s="267">
        <f t="shared" si="7"/>
        <v>0</v>
      </c>
      <c r="W13" s="267">
        <f t="shared" si="7"/>
        <v>0</v>
      </c>
      <c r="X13" s="267">
        <f t="shared" si="7"/>
        <v>22712.47068</v>
      </c>
      <c r="Y13" s="267">
        <f t="shared" si="7"/>
        <v>22712.47068</v>
      </c>
      <c r="Z13" s="267">
        <f t="shared" si="1"/>
        <v>75708.2356</v>
      </c>
      <c r="AB13" s="47">
        <v>11</v>
      </c>
      <c r="AG13" s="47">
        <v>10</v>
      </c>
      <c r="AH13" s="47">
        <v>6</v>
      </c>
      <c r="AI13" s="197">
        <f t="shared" si="2"/>
        <v>21.174079332608</v>
      </c>
      <c r="AK13" s="47">
        <v>0.14</v>
      </c>
      <c r="AP13" s="47">
        <v>0.06</v>
      </c>
      <c r="AR13" s="197">
        <f t="shared" si="3"/>
        <v>0.17031324680576</v>
      </c>
      <c r="AT13" s="47">
        <v>46</v>
      </c>
      <c r="AY13" s="47">
        <v>48</v>
      </c>
      <c r="BA13" s="197">
        <f t="shared" si="4"/>
        <v>75.49019588147199</v>
      </c>
      <c r="BC13" s="47">
        <v>-42</v>
      </c>
      <c r="BH13" s="47">
        <v>-44</v>
      </c>
      <c r="BJ13" s="197">
        <f t="shared" si="9"/>
        <v>-69.04591086719999</v>
      </c>
      <c r="BL13" s="47">
        <v>7.85</v>
      </c>
      <c r="BQ13" s="47">
        <v>8.2</v>
      </c>
      <c r="BR13" s="47">
        <v>6.98</v>
      </c>
      <c r="BU13" s="47">
        <v>95</v>
      </c>
      <c r="BZ13" s="47">
        <v>8</v>
      </c>
      <c r="CB13" s="197">
        <f t="shared" si="5"/>
        <v>92.98182663449602</v>
      </c>
      <c r="CD13" s="47">
        <v>90</v>
      </c>
      <c r="CI13" s="47">
        <v>30</v>
      </c>
      <c r="CK13" s="197">
        <f t="shared" si="6"/>
        <v>103.5688663008</v>
      </c>
      <c r="CS13" s="47">
        <v>36</v>
      </c>
      <c r="CT13" s="267">
        <f t="shared" si="8"/>
        <v>24.856527912191996</v>
      </c>
    </row>
    <row r="14" spans="9:98" ht="12.75">
      <c r="I14" s="174" t="s">
        <v>348</v>
      </c>
      <c r="J14" s="261">
        <v>2007</v>
      </c>
      <c r="K14" s="51">
        <v>0</v>
      </c>
      <c r="L14" s="51">
        <v>0</v>
      </c>
      <c r="M14" s="51">
        <v>0</v>
      </c>
      <c r="N14" s="51">
        <v>0</v>
      </c>
      <c r="O14" s="51">
        <v>0</v>
      </c>
      <c r="P14" s="51">
        <v>0</v>
      </c>
      <c r="Q14" s="51">
        <v>0</v>
      </c>
      <c r="S14" s="267">
        <f t="shared" si="7"/>
        <v>0</v>
      </c>
      <c r="T14" s="267">
        <f t="shared" si="7"/>
        <v>0</v>
      </c>
      <c r="U14" s="267">
        <f t="shared" si="7"/>
        <v>0</v>
      </c>
      <c r="V14" s="267">
        <f t="shared" si="7"/>
        <v>0</v>
      </c>
      <c r="W14" s="267">
        <f t="shared" si="7"/>
        <v>0</v>
      </c>
      <c r="X14" s="267">
        <f t="shared" si="7"/>
        <v>0</v>
      </c>
      <c r="Y14" s="267">
        <f t="shared" si="7"/>
        <v>0</v>
      </c>
      <c r="Z14" s="267">
        <f t="shared" si="1"/>
        <v>0</v>
      </c>
      <c r="AI14" s="197">
        <f t="shared" si="2"/>
        <v>0</v>
      </c>
      <c r="AR14" s="197">
        <f t="shared" si="3"/>
        <v>0</v>
      </c>
      <c r="BA14" s="197">
        <f t="shared" si="4"/>
        <v>0</v>
      </c>
      <c r="BJ14" s="197">
        <f t="shared" si="9"/>
        <v>0</v>
      </c>
      <c r="CB14" s="197">
        <f t="shared" si="5"/>
        <v>0</v>
      </c>
      <c r="CK14" s="197">
        <f t="shared" si="6"/>
        <v>0</v>
      </c>
      <c r="CT14" s="267">
        <f t="shared" si="8"/>
        <v>0</v>
      </c>
    </row>
    <row r="15" spans="9:98" ht="12.75">
      <c r="I15" s="174" t="s">
        <v>349</v>
      </c>
      <c r="J15" s="261">
        <v>2007</v>
      </c>
      <c r="K15" s="51">
        <v>0.0002</v>
      </c>
      <c r="L15" s="51">
        <v>0</v>
      </c>
      <c r="M15" s="51">
        <v>0</v>
      </c>
      <c r="N15" s="51">
        <v>0</v>
      </c>
      <c r="O15" s="51">
        <v>0</v>
      </c>
      <c r="P15" s="51">
        <v>0</v>
      </c>
      <c r="Q15" s="51">
        <v>0</v>
      </c>
      <c r="S15" s="267">
        <f t="shared" si="7"/>
        <v>757.082356</v>
      </c>
      <c r="T15" s="267">
        <f t="shared" si="7"/>
        <v>0</v>
      </c>
      <c r="U15" s="267">
        <f t="shared" si="7"/>
        <v>0</v>
      </c>
      <c r="V15" s="267">
        <f t="shared" si="7"/>
        <v>0</v>
      </c>
      <c r="W15" s="267">
        <f t="shared" si="7"/>
        <v>0</v>
      </c>
      <c r="X15" s="267">
        <f t="shared" si="7"/>
        <v>0</v>
      </c>
      <c r="Y15" s="267">
        <f t="shared" si="7"/>
        <v>0</v>
      </c>
      <c r="Z15" s="267">
        <f t="shared" si="1"/>
        <v>757.082356</v>
      </c>
      <c r="AB15" s="47">
        <v>28</v>
      </c>
      <c r="AI15" s="197">
        <f t="shared" si="2"/>
        <v>0.6444285014272</v>
      </c>
      <c r="AK15" s="47">
        <v>0.28</v>
      </c>
      <c r="AR15" s="197">
        <f t="shared" si="3"/>
        <v>0.006444285014272</v>
      </c>
      <c r="AT15" s="47">
        <v>128</v>
      </c>
      <c r="BA15" s="197">
        <f t="shared" si="4"/>
        <v>2.9459588636672</v>
      </c>
      <c r="BC15" s="47">
        <v>-120</v>
      </c>
      <c r="BJ15" s="197">
        <f t="shared" si="9"/>
        <v>-2.761836434688</v>
      </c>
      <c r="BL15" s="47">
        <v>7.81</v>
      </c>
      <c r="BU15" s="47">
        <v>109</v>
      </c>
      <c r="CB15" s="197">
        <f t="shared" si="5"/>
        <v>2.5086680948416</v>
      </c>
      <c r="CD15" s="47">
        <v>129</v>
      </c>
      <c r="CK15" s="197">
        <f t="shared" si="6"/>
        <v>2.9689741672895997</v>
      </c>
      <c r="CT15" s="267">
        <f t="shared" si="8"/>
        <v>0</v>
      </c>
    </row>
    <row r="16" spans="3:98" ht="12.75">
      <c r="C16" s="47" t="s">
        <v>649</v>
      </c>
      <c r="I16" s="174" t="s">
        <v>350</v>
      </c>
      <c r="J16" s="261">
        <v>2007</v>
      </c>
      <c r="K16" s="51">
        <v>0</v>
      </c>
      <c r="L16" s="51">
        <v>0</v>
      </c>
      <c r="M16" s="51">
        <v>0</v>
      </c>
      <c r="N16" s="51">
        <v>0</v>
      </c>
      <c r="O16" s="51">
        <v>0</v>
      </c>
      <c r="P16" s="51">
        <v>0</v>
      </c>
      <c r="Q16" s="51">
        <v>0</v>
      </c>
      <c r="S16" s="267">
        <f t="shared" si="7"/>
        <v>0</v>
      </c>
      <c r="T16" s="267">
        <f t="shared" si="7"/>
        <v>0</v>
      </c>
      <c r="U16" s="267">
        <f t="shared" si="7"/>
        <v>0</v>
      </c>
      <c r="V16" s="267">
        <f t="shared" si="7"/>
        <v>0</v>
      </c>
      <c r="W16" s="267">
        <f t="shared" si="7"/>
        <v>0</v>
      </c>
      <c r="X16" s="267">
        <f t="shared" si="7"/>
        <v>0</v>
      </c>
      <c r="Y16" s="267">
        <f t="shared" si="7"/>
        <v>0</v>
      </c>
      <c r="Z16" s="267">
        <f t="shared" si="1"/>
        <v>0</v>
      </c>
      <c r="AI16" s="197">
        <f t="shared" si="2"/>
        <v>0</v>
      </c>
      <c r="AR16" s="197">
        <f t="shared" si="3"/>
        <v>0</v>
      </c>
      <c r="BA16" s="197">
        <f t="shared" si="4"/>
        <v>0</v>
      </c>
      <c r="BJ16" s="197">
        <f t="shared" si="9"/>
        <v>0</v>
      </c>
      <c r="CB16" s="197">
        <f t="shared" si="5"/>
        <v>0</v>
      </c>
      <c r="CK16" s="197">
        <f t="shared" si="6"/>
        <v>0</v>
      </c>
      <c r="CT16" s="267">
        <f t="shared" si="8"/>
        <v>0</v>
      </c>
    </row>
    <row r="17" spans="9:98" ht="12.75">
      <c r="I17" s="174" t="s">
        <v>339</v>
      </c>
      <c r="J17" s="261">
        <v>2007</v>
      </c>
      <c r="K17" s="51">
        <v>3.2</v>
      </c>
      <c r="L17" s="51">
        <v>0</v>
      </c>
      <c r="M17" s="51">
        <v>0</v>
      </c>
      <c r="N17" s="51">
        <v>0</v>
      </c>
      <c r="O17" s="51">
        <v>0</v>
      </c>
      <c r="P17" s="51">
        <v>3.4</v>
      </c>
      <c r="Q17" s="51">
        <v>0.0075</v>
      </c>
      <c r="S17" s="267">
        <f t="shared" si="7"/>
        <v>12113317.696</v>
      </c>
      <c r="T17" s="267">
        <f t="shared" si="7"/>
        <v>0</v>
      </c>
      <c r="U17" s="267">
        <f t="shared" si="7"/>
        <v>0</v>
      </c>
      <c r="V17" s="267">
        <f t="shared" si="7"/>
        <v>0</v>
      </c>
      <c r="W17" s="267">
        <f t="shared" si="7"/>
        <v>0</v>
      </c>
      <c r="X17" s="267">
        <f t="shared" si="7"/>
        <v>12870400.052</v>
      </c>
      <c r="Y17" s="267">
        <f t="shared" si="7"/>
        <v>28390.58835</v>
      </c>
      <c r="Z17" s="267">
        <f t="shared" si="1"/>
        <v>25012108.33635</v>
      </c>
      <c r="AB17" s="47">
        <v>40</v>
      </c>
      <c r="AG17" s="47">
        <v>16</v>
      </c>
      <c r="AH17" s="47">
        <v>22</v>
      </c>
      <c r="AI17" s="197">
        <f t="shared" si="2"/>
        <v>21008.944529117278</v>
      </c>
      <c r="AK17" s="47">
        <v>0.73</v>
      </c>
      <c r="AP17" s="47">
        <v>0.24</v>
      </c>
      <c r="AR17" s="197">
        <f t="shared" si="3"/>
        <v>362.721185089024</v>
      </c>
      <c r="AT17" s="47">
        <v>98</v>
      </c>
      <c r="AY17" s="47">
        <v>106</v>
      </c>
      <c r="BA17" s="197">
        <f t="shared" si="4"/>
        <v>77561.57320748799</v>
      </c>
      <c r="BC17" s="47">
        <v>-94</v>
      </c>
      <c r="BH17" s="47">
        <v>-100</v>
      </c>
      <c r="BJ17" s="197">
        <f t="shared" si="9"/>
        <v>-73741.03280616959</v>
      </c>
      <c r="BL17" s="47">
        <v>8.07</v>
      </c>
      <c r="BQ17" s="47">
        <v>8.31</v>
      </c>
      <c r="BR17" s="47">
        <v>7.67</v>
      </c>
      <c r="BU17" s="47">
        <v>78</v>
      </c>
      <c r="BZ17" s="47">
        <v>15</v>
      </c>
      <c r="CB17" s="197">
        <f t="shared" si="5"/>
        <v>34592.0013444672</v>
      </c>
      <c r="CD17" s="47">
        <v>88</v>
      </c>
      <c r="CI17" s="47">
        <v>76</v>
      </c>
      <c r="CK17" s="197">
        <f t="shared" si="6"/>
        <v>62141.31978047999</v>
      </c>
      <c r="CS17" s="47">
        <v>44</v>
      </c>
      <c r="CT17" s="267">
        <f t="shared" si="8"/>
        <v>37.975250976960005</v>
      </c>
    </row>
    <row r="18" spans="9:98" ht="12.75">
      <c r="I18" s="174" t="s">
        <v>340</v>
      </c>
      <c r="J18" s="261">
        <v>2007</v>
      </c>
      <c r="K18" s="51">
        <v>0</v>
      </c>
      <c r="L18" s="51">
        <v>0</v>
      </c>
      <c r="M18" s="51">
        <v>0</v>
      </c>
      <c r="N18" s="51">
        <v>0</v>
      </c>
      <c r="O18" s="51">
        <v>0</v>
      </c>
      <c r="P18" s="51">
        <v>0</v>
      </c>
      <c r="Q18" s="51">
        <v>0</v>
      </c>
      <c r="S18" s="267">
        <f t="shared" si="7"/>
        <v>0</v>
      </c>
      <c r="T18" s="267">
        <f t="shared" si="7"/>
        <v>0</v>
      </c>
      <c r="U18" s="267">
        <f t="shared" si="7"/>
        <v>0</v>
      </c>
      <c r="V18" s="267">
        <f t="shared" si="7"/>
        <v>0</v>
      </c>
      <c r="W18" s="267">
        <f t="shared" si="7"/>
        <v>0</v>
      </c>
      <c r="X18" s="267">
        <f t="shared" si="7"/>
        <v>0</v>
      </c>
      <c r="Y18" s="267">
        <f t="shared" si="7"/>
        <v>0</v>
      </c>
      <c r="Z18" s="267">
        <f t="shared" si="1"/>
        <v>0</v>
      </c>
      <c r="AI18" s="197">
        <f t="shared" si="2"/>
        <v>0</v>
      </c>
      <c r="AR18" s="197">
        <f t="shared" si="3"/>
        <v>0</v>
      </c>
      <c r="BA18" s="197">
        <f t="shared" si="4"/>
        <v>0</v>
      </c>
      <c r="BJ18" s="197">
        <f t="shared" si="9"/>
        <v>0</v>
      </c>
      <c r="CB18" s="197">
        <f t="shared" si="5"/>
        <v>0</v>
      </c>
      <c r="CK18" s="197">
        <f t="shared" si="6"/>
        <v>0</v>
      </c>
      <c r="CT18" s="267">
        <f t="shared" si="8"/>
        <v>0</v>
      </c>
    </row>
    <row r="19" spans="9:98" ht="12.75">
      <c r="I19" s="174" t="s">
        <v>341</v>
      </c>
      <c r="J19" s="261">
        <v>2007</v>
      </c>
      <c r="K19" s="51">
        <v>2.5</v>
      </c>
      <c r="L19" s="51">
        <v>0</v>
      </c>
      <c r="M19" s="51">
        <v>0</v>
      </c>
      <c r="N19" s="51">
        <v>0</v>
      </c>
      <c r="O19" s="51">
        <v>0</v>
      </c>
      <c r="P19" s="51">
        <v>2.7</v>
      </c>
      <c r="Q19" s="51">
        <v>0.008</v>
      </c>
      <c r="S19" s="267">
        <f t="shared" si="7"/>
        <v>9463529.45</v>
      </c>
      <c r="T19" s="267">
        <f t="shared" si="7"/>
        <v>0</v>
      </c>
      <c r="U19" s="267">
        <f t="shared" si="7"/>
        <v>0</v>
      </c>
      <c r="V19" s="267">
        <f t="shared" si="7"/>
        <v>0</v>
      </c>
      <c r="W19" s="267">
        <f t="shared" si="7"/>
        <v>0</v>
      </c>
      <c r="X19" s="267">
        <f t="shared" si="7"/>
        <v>10220611.806</v>
      </c>
      <c r="Y19" s="267">
        <f t="shared" si="7"/>
        <v>30283.29424</v>
      </c>
      <c r="Z19" s="267">
        <f t="shared" si="1"/>
        <v>19714424.55024</v>
      </c>
      <c r="AB19" s="47">
        <v>21</v>
      </c>
      <c r="AG19" s="47">
        <v>9</v>
      </c>
      <c r="AH19" s="47">
        <v>18</v>
      </c>
      <c r="AI19" s="197">
        <f t="shared" si="2"/>
        <v>8854.447609609728</v>
      </c>
      <c r="AK19" s="47">
        <v>0.37</v>
      </c>
      <c r="AP19" s="47">
        <v>0.12</v>
      </c>
      <c r="AR19" s="197">
        <f t="shared" si="3"/>
        <v>143.73057112188798</v>
      </c>
      <c r="AT19" s="47">
        <v>124</v>
      </c>
      <c r="AY19" s="47">
        <v>106</v>
      </c>
      <c r="BA19" s="197">
        <f t="shared" si="4"/>
        <v>68608.6200983744</v>
      </c>
      <c r="BC19" s="47">
        <v>-112</v>
      </c>
      <c r="BH19" s="47">
        <v>-102</v>
      </c>
      <c r="BJ19" s="197">
        <f t="shared" si="9"/>
        <v>-63913.4981594048</v>
      </c>
      <c r="BL19" s="47">
        <v>7.93</v>
      </c>
      <c r="BQ19" s="47">
        <v>8.35</v>
      </c>
      <c r="BR19" s="47">
        <v>7.51</v>
      </c>
      <c r="BU19" s="47">
        <v>96</v>
      </c>
      <c r="BZ19" s="47">
        <v>20</v>
      </c>
      <c r="CB19" s="197">
        <f t="shared" si="5"/>
        <v>33832.496324928</v>
      </c>
      <c r="CD19" s="47">
        <v>90</v>
      </c>
      <c r="CI19" s="47">
        <v>77</v>
      </c>
      <c r="CK19" s="197">
        <f t="shared" si="6"/>
        <v>49816.62469068479</v>
      </c>
      <c r="CS19" s="47">
        <v>39</v>
      </c>
      <c r="CT19" s="267">
        <f t="shared" si="8"/>
        <v>35.903873650944</v>
      </c>
    </row>
    <row r="20" spans="9:98" ht="12.75">
      <c r="I20" s="174" t="s">
        <v>342</v>
      </c>
      <c r="J20" s="261">
        <v>2006</v>
      </c>
      <c r="K20" s="51">
        <v>0.017</v>
      </c>
      <c r="L20" s="51">
        <v>0</v>
      </c>
      <c r="M20" s="51">
        <v>0</v>
      </c>
      <c r="N20" s="51">
        <v>8.5</v>
      </c>
      <c r="O20" s="51">
        <v>0</v>
      </c>
      <c r="P20" s="51">
        <v>0.02</v>
      </c>
      <c r="Q20" s="51">
        <v>0.01</v>
      </c>
      <c r="S20" s="267">
        <f t="shared" si="7"/>
        <v>64352.00026</v>
      </c>
      <c r="T20" s="267">
        <f t="shared" si="7"/>
        <v>0</v>
      </c>
      <c r="U20" s="267">
        <f t="shared" si="7"/>
        <v>0</v>
      </c>
      <c r="V20" s="267">
        <f t="shared" si="7"/>
        <v>32176000.13</v>
      </c>
      <c r="W20" s="267">
        <f t="shared" si="7"/>
        <v>0</v>
      </c>
      <c r="X20" s="267">
        <f t="shared" si="7"/>
        <v>75708.2356</v>
      </c>
      <c r="Y20" s="267">
        <f t="shared" si="7"/>
        <v>37854.1178</v>
      </c>
      <c r="Z20" s="267">
        <f t="shared" si="1"/>
        <v>32353914.483659998</v>
      </c>
      <c r="AB20" s="47">
        <v>16</v>
      </c>
      <c r="AE20" s="47">
        <v>14</v>
      </c>
      <c r="AG20" s="47">
        <v>23</v>
      </c>
      <c r="AH20" s="47">
        <v>14</v>
      </c>
      <c r="AI20" s="197">
        <f t="shared" si="2"/>
        <v>13794.452379121663</v>
      </c>
      <c r="AK20" s="47">
        <v>0.47</v>
      </c>
      <c r="AN20" s="47">
        <v>0.23</v>
      </c>
      <c r="AP20" s="47">
        <v>0.41</v>
      </c>
      <c r="AR20" s="197">
        <f t="shared" si="3"/>
        <v>226.8376817371933</v>
      </c>
      <c r="AT20" s="47">
        <v>120</v>
      </c>
      <c r="AW20" s="47">
        <v>260</v>
      </c>
      <c r="AY20" s="47">
        <v>140</v>
      </c>
      <c r="BA20" s="197">
        <f t="shared" si="4"/>
        <v>254876.0753751821</v>
      </c>
      <c r="BC20" s="47">
        <v>-88</v>
      </c>
      <c r="BF20" s="47">
        <v>-190</v>
      </c>
      <c r="BH20" s="47">
        <v>-88</v>
      </c>
      <c r="BJ20" s="197">
        <f t="shared" si="9"/>
        <v>-186223.26589385263</v>
      </c>
      <c r="BL20" s="47">
        <v>7.8</v>
      </c>
      <c r="BO20" s="47">
        <v>7.9</v>
      </c>
      <c r="BQ20" s="47">
        <v>8.1</v>
      </c>
      <c r="BR20" s="47">
        <v>7.9</v>
      </c>
      <c r="BU20" s="47">
        <v>35</v>
      </c>
      <c r="BX20" s="47">
        <v>6620</v>
      </c>
      <c r="BZ20" s="47">
        <v>14</v>
      </c>
      <c r="CB20" s="197">
        <f t="shared" si="5"/>
        <v>6475456.366115588</v>
      </c>
      <c r="CD20" s="47">
        <v>53</v>
      </c>
      <c r="CG20" s="47">
        <v>400</v>
      </c>
      <c r="CI20" s="47">
        <v>38</v>
      </c>
      <c r="CK20" s="197">
        <f t="shared" si="6"/>
        <v>391451.30367738404</v>
      </c>
      <c r="CS20" s="47">
        <v>42</v>
      </c>
      <c r="CT20" s="267">
        <f t="shared" si="8"/>
        <v>48.332137607039996</v>
      </c>
    </row>
    <row r="21" spans="9:98" ht="12.75">
      <c r="I21" s="174" t="s">
        <v>343</v>
      </c>
      <c r="J21" s="261">
        <v>2006</v>
      </c>
      <c r="K21" s="51">
        <v>0</v>
      </c>
      <c r="L21" s="51">
        <v>0</v>
      </c>
      <c r="M21" s="51">
        <v>0</v>
      </c>
      <c r="N21" s="51">
        <v>0</v>
      </c>
      <c r="O21" s="51">
        <v>0</v>
      </c>
      <c r="P21" s="51">
        <v>0</v>
      </c>
      <c r="Q21" s="51">
        <v>0</v>
      </c>
      <c r="S21" s="267">
        <f t="shared" si="7"/>
        <v>0</v>
      </c>
      <c r="T21" s="267">
        <f t="shared" si="7"/>
        <v>0</v>
      </c>
      <c r="U21" s="267">
        <f t="shared" si="7"/>
        <v>0</v>
      </c>
      <c r="V21" s="267">
        <f t="shared" si="7"/>
        <v>0</v>
      </c>
      <c r="W21" s="267">
        <f t="shared" si="7"/>
        <v>0</v>
      </c>
      <c r="X21" s="267">
        <f t="shared" si="7"/>
        <v>0</v>
      </c>
      <c r="Y21" s="267">
        <f t="shared" si="7"/>
        <v>0</v>
      </c>
      <c r="Z21" s="267">
        <f t="shared" si="1"/>
        <v>0</v>
      </c>
      <c r="AI21" s="197">
        <f t="shared" si="2"/>
        <v>0</v>
      </c>
      <c r="AR21" s="197">
        <f t="shared" si="3"/>
        <v>0</v>
      </c>
      <c r="BA21" s="197">
        <f t="shared" si="4"/>
        <v>0</v>
      </c>
      <c r="BJ21" s="197">
        <f t="shared" si="9"/>
        <v>0</v>
      </c>
      <c r="CB21" s="197">
        <f t="shared" si="5"/>
        <v>0</v>
      </c>
      <c r="CK21" s="197">
        <f t="shared" si="6"/>
        <v>0</v>
      </c>
      <c r="CT21" s="267">
        <f t="shared" si="8"/>
        <v>0</v>
      </c>
    </row>
    <row r="22" spans="9:98" ht="12.75">
      <c r="I22" s="174" t="s">
        <v>344</v>
      </c>
      <c r="J22" s="261">
        <v>2007</v>
      </c>
      <c r="K22" s="51">
        <v>0.004</v>
      </c>
      <c r="L22" s="51">
        <v>0</v>
      </c>
      <c r="M22" s="51">
        <v>0</v>
      </c>
      <c r="N22" s="51">
        <v>7.1</v>
      </c>
      <c r="O22" s="51">
        <v>0</v>
      </c>
      <c r="P22" s="51">
        <v>0.006</v>
      </c>
      <c r="Q22" s="51">
        <v>0.011</v>
      </c>
      <c r="S22" s="267">
        <f t="shared" si="7"/>
        <v>15141.64712</v>
      </c>
      <c r="T22" s="267">
        <f t="shared" si="7"/>
        <v>0</v>
      </c>
      <c r="U22" s="267">
        <f t="shared" si="7"/>
        <v>0</v>
      </c>
      <c r="V22" s="267">
        <f t="shared" si="7"/>
        <v>26876423.638</v>
      </c>
      <c r="W22" s="267">
        <f t="shared" si="7"/>
        <v>0</v>
      </c>
      <c r="X22" s="267">
        <f t="shared" si="7"/>
        <v>22712.47068</v>
      </c>
      <c r="Y22" s="267">
        <f t="shared" si="7"/>
        <v>41639.52958</v>
      </c>
      <c r="Z22" s="267">
        <f t="shared" si="1"/>
        <v>26955917.28538</v>
      </c>
      <c r="AB22" s="47">
        <v>12</v>
      </c>
      <c r="AE22" s="47">
        <v>10</v>
      </c>
      <c r="AG22" s="47">
        <v>6</v>
      </c>
      <c r="AH22" s="47">
        <v>12</v>
      </c>
      <c r="AI22" s="197">
        <f t="shared" si="2"/>
        <v>8195.28931386419</v>
      </c>
      <c r="AK22" s="47">
        <v>0.6</v>
      </c>
      <c r="AN22" s="47">
        <v>0.17</v>
      </c>
      <c r="AP22" s="47">
        <v>0.2</v>
      </c>
      <c r="AR22" s="197">
        <f t="shared" si="3"/>
        <v>139.31163282638718</v>
      </c>
      <c r="AT22" s="47">
        <v>114</v>
      </c>
      <c r="AW22" s="47">
        <v>260</v>
      </c>
      <c r="AY22" s="47">
        <v>120</v>
      </c>
      <c r="BA22" s="197">
        <f t="shared" si="4"/>
        <v>212566.5824200517</v>
      </c>
      <c r="BC22" s="47">
        <v>-105</v>
      </c>
      <c r="BF22" s="47">
        <v>-250</v>
      </c>
      <c r="BH22" s="47">
        <v>-114</v>
      </c>
      <c r="BJ22" s="197">
        <f t="shared" si="9"/>
        <v>-204387.86412479565</v>
      </c>
      <c r="BL22" s="47">
        <v>7.6</v>
      </c>
      <c r="BO22" s="47">
        <v>8</v>
      </c>
      <c r="BQ22" s="47">
        <v>7.8</v>
      </c>
      <c r="BR22" s="47">
        <v>7.3</v>
      </c>
      <c r="BU22" s="47">
        <v>56</v>
      </c>
      <c r="BX22" s="47">
        <v>7179</v>
      </c>
      <c r="BZ22" s="47">
        <v>14</v>
      </c>
      <c r="CB22" s="197">
        <f t="shared" si="5"/>
        <v>5865589.140602519</v>
      </c>
      <c r="CD22" s="47">
        <v>84</v>
      </c>
      <c r="CG22" s="47">
        <v>340</v>
      </c>
      <c r="CI22" s="47">
        <v>63</v>
      </c>
      <c r="CK22" s="197">
        <f t="shared" si="6"/>
        <v>277876.87935629993</v>
      </c>
      <c r="CS22" s="47">
        <v>32</v>
      </c>
      <c r="CT22" s="267">
        <f t="shared" si="8"/>
        <v>40.506934375424</v>
      </c>
    </row>
    <row r="23" spans="9:98" ht="12.75">
      <c r="I23" s="174" t="s">
        <v>345</v>
      </c>
      <c r="J23" s="261">
        <v>2006</v>
      </c>
      <c r="K23" s="51">
        <v>0</v>
      </c>
      <c r="L23" s="51">
        <v>0</v>
      </c>
      <c r="M23" s="51">
        <v>0</v>
      </c>
      <c r="N23" s="51">
        <v>0</v>
      </c>
      <c r="O23" s="51">
        <v>0</v>
      </c>
      <c r="P23" s="51">
        <v>0</v>
      </c>
      <c r="Q23" s="51">
        <v>0</v>
      </c>
      <c r="S23" s="267">
        <f t="shared" si="7"/>
        <v>0</v>
      </c>
      <c r="T23" s="267">
        <f t="shared" si="7"/>
        <v>0</v>
      </c>
      <c r="U23" s="267">
        <f t="shared" si="7"/>
        <v>0</v>
      </c>
      <c r="V23" s="267">
        <f t="shared" si="7"/>
        <v>0</v>
      </c>
      <c r="W23" s="267">
        <f t="shared" si="7"/>
        <v>0</v>
      </c>
      <c r="X23" s="267">
        <f t="shared" si="7"/>
        <v>0</v>
      </c>
      <c r="Y23" s="267">
        <f t="shared" si="7"/>
        <v>0</v>
      </c>
      <c r="Z23" s="267">
        <f t="shared" si="1"/>
        <v>0</v>
      </c>
      <c r="AI23" s="197">
        <f t="shared" si="2"/>
        <v>0</v>
      </c>
      <c r="AR23" s="197">
        <f t="shared" si="3"/>
        <v>0</v>
      </c>
      <c r="BA23" s="197">
        <f t="shared" si="4"/>
        <v>0</v>
      </c>
      <c r="BJ23" s="197">
        <f t="shared" si="9"/>
        <v>0</v>
      </c>
      <c r="CB23" s="197">
        <f t="shared" si="5"/>
        <v>0</v>
      </c>
      <c r="CK23" s="197">
        <f t="shared" si="6"/>
        <v>0</v>
      </c>
      <c r="CT23" s="267">
        <f t="shared" si="8"/>
        <v>0</v>
      </c>
    </row>
    <row r="24" spans="9:98" ht="12.75">
      <c r="I24" s="174" t="s">
        <v>346</v>
      </c>
      <c r="J24" s="261">
        <v>2006</v>
      </c>
      <c r="K24" s="51">
        <v>0.175</v>
      </c>
      <c r="L24" s="51">
        <v>0</v>
      </c>
      <c r="M24" s="51">
        <v>0</v>
      </c>
      <c r="N24" s="51">
        <v>3.5</v>
      </c>
      <c r="O24" s="51">
        <v>0</v>
      </c>
      <c r="P24" s="51">
        <v>0.17</v>
      </c>
      <c r="Q24" s="51">
        <v>0.0087</v>
      </c>
      <c r="S24" s="267">
        <f t="shared" si="7"/>
        <v>662447.0615</v>
      </c>
      <c r="T24" s="267">
        <f t="shared" si="7"/>
        <v>0</v>
      </c>
      <c r="U24" s="267">
        <f t="shared" si="7"/>
        <v>0</v>
      </c>
      <c r="V24" s="267">
        <f t="shared" si="7"/>
        <v>13248941.23</v>
      </c>
      <c r="W24" s="267">
        <f t="shared" si="7"/>
        <v>0</v>
      </c>
      <c r="X24" s="267">
        <f t="shared" si="7"/>
        <v>643520.0026</v>
      </c>
      <c r="Y24" s="267">
        <f t="shared" si="7"/>
        <v>32933.082486</v>
      </c>
      <c r="Z24" s="267">
        <f t="shared" si="1"/>
        <v>14587841.376586</v>
      </c>
      <c r="AB24" s="47">
        <v>40</v>
      </c>
      <c r="AE24" s="47">
        <v>10</v>
      </c>
      <c r="AG24" s="47">
        <v>9</v>
      </c>
      <c r="AH24" s="47">
        <v>19</v>
      </c>
      <c r="AI24" s="197">
        <f t="shared" si="2"/>
        <v>5028.302981859274</v>
      </c>
      <c r="AK24" s="47">
        <v>0.96</v>
      </c>
      <c r="AN24" s="47">
        <v>0.05</v>
      </c>
      <c r="AP24" s="47">
        <v>0.11</v>
      </c>
      <c r="AR24" s="197">
        <f t="shared" si="3"/>
        <v>41.6231766011104</v>
      </c>
      <c r="AT24" s="47">
        <v>88</v>
      </c>
      <c r="AW24" s="47">
        <v>160</v>
      </c>
      <c r="AY24" s="47">
        <v>110</v>
      </c>
      <c r="BA24" s="197">
        <f t="shared" si="4"/>
        <v>68366.9594103392</v>
      </c>
      <c r="BC24" s="47">
        <v>-84</v>
      </c>
      <c r="BF24" s="47">
        <v>-150</v>
      </c>
      <c r="BH24" s="47">
        <v>-110</v>
      </c>
      <c r="BJ24" s="197">
        <f t="shared" si="9"/>
        <v>-64258.727713740795</v>
      </c>
      <c r="BL24" s="47">
        <v>7.9</v>
      </c>
      <c r="BO24" s="47">
        <v>8.4</v>
      </c>
      <c r="BQ24" s="47">
        <v>7.7</v>
      </c>
      <c r="BR24" s="47">
        <v>6.9</v>
      </c>
      <c r="BU24" s="47">
        <v>70</v>
      </c>
      <c r="BX24" s="47">
        <v>9750</v>
      </c>
      <c r="BZ24" s="47">
        <v>15</v>
      </c>
      <c r="CB24" s="197">
        <f t="shared" si="5"/>
        <v>3928689.313040057</v>
      </c>
      <c r="CD24" s="47">
        <v>81</v>
      </c>
      <c r="CG24" s="47">
        <v>580</v>
      </c>
      <c r="CI24" s="47">
        <v>33</v>
      </c>
      <c r="CK24" s="197">
        <f t="shared" si="6"/>
        <v>235882.12067820592</v>
      </c>
      <c r="CS24" s="47">
        <v>25.5</v>
      </c>
      <c r="CT24" s="267">
        <f t="shared" si="8"/>
        <v>25.5297255431472</v>
      </c>
    </row>
    <row r="25" spans="9:98" ht="12.75">
      <c r="I25" s="174" t="s">
        <v>347</v>
      </c>
      <c r="J25" s="261">
        <v>2006</v>
      </c>
      <c r="K25" s="51">
        <v>0</v>
      </c>
      <c r="L25" s="51">
        <v>0</v>
      </c>
      <c r="M25" s="51">
        <v>0</v>
      </c>
      <c r="N25" s="51">
        <v>0</v>
      </c>
      <c r="O25" s="51">
        <v>0</v>
      </c>
      <c r="P25" s="51">
        <v>0</v>
      </c>
      <c r="Q25" s="51">
        <v>0</v>
      </c>
      <c r="S25" s="267">
        <f t="shared" si="7"/>
        <v>0</v>
      </c>
      <c r="T25" s="267">
        <f t="shared" si="7"/>
        <v>0</v>
      </c>
      <c r="U25" s="267">
        <f t="shared" si="7"/>
        <v>0</v>
      </c>
      <c r="V25" s="267">
        <f t="shared" si="7"/>
        <v>0</v>
      </c>
      <c r="W25" s="267">
        <f t="shared" si="7"/>
        <v>0</v>
      </c>
      <c r="X25" s="267">
        <f t="shared" si="7"/>
        <v>0</v>
      </c>
      <c r="Y25" s="267">
        <f t="shared" si="7"/>
        <v>0</v>
      </c>
      <c r="Z25" s="267">
        <f t="shared" si="1"/>
        <v>0</v>
      </c>
      <c r="AI25" s="197">
        <f t="shared" si="2"/>
        <v>0</v>
      </c>
      <c r="AR25" s="197">
        <f t="shared" si="3"/>
        <v>0</v>
      </c>
      <c r="BA25" s="197">
        <f t="shared" si="4"/>
        <v>0</v>
      </c>
      <c r="BJ25" s="197">
        <f t="shared" si="9"/>
        <v>0</v>
      </c>
      <c r="CB25" s="197">
        <f t="shared" si="5"/>
        <v>0</v>
      </c>
      <c r="CK25" s="197">
        <f t="shared" si="6"/>
        <v>0</v>
      </c>
      <c r="CT25" s="267">
        <f t="shared" si="8"/>
        <v>0</v>
      </c>
    </row>
    <row r="26" spans="9:98" ht="12.75">
      <c r="I26" s="269" t="s">
        <v>348</v>
      </c>
      <c r="J26" s="270">
        <v>2006</v>
      </c>
      <c r="K26" s="271">
        <v>0</v>
      </c>
      <c r="L26" s="271">
        <v>0</v>
      </c>
      <c r="M26" s="271">
        <v>0</v>
      </c>
      <c r="N26" s="271">
        <v>0</v>
      </c>
      <c r="O26" s="271">
        <v>0</v>
      </c>
      <c r="P26" s="271">
        <v>0</v>
      </c>
      <c r="Q26" s="51">
        <v>0.0083</v>
      </c>
      <c r="S26" s="267">
        <f t="shared" si="7"/>
        <v>0</v>
      </c>
      <c r="T26" s="267">
        <f t="shared" si="7"/>
        <v>0</v>
      </c>
      <c r="U26" s="267">
        <f t="shared" si="7"/>
        <v>0</v>
      </c>
      <c r="V26" s="267">
        <f t="shared" si="7"/>
        <v>0</v>
      </c>
      <c r="W26" s="267">
        <f t="shared" si="7"/>
        <v>0</v>
      </c>
      <c r="X26" s="267">
        <f t="shared" si="7"/>
        <v>0</v>
      </c>
      <c r="Y26" s="267">
        <f t="shared" si="7"/>
        <v>31418.917774</v>
      </c>
      <c r="Z26" s="267">
        <f t="shared" si="1"/>
        <v>31418.917774</v>
      </c>
      <c r="AB26" s="47">
        <v>6</v>
      </c>
      <c r="AE26" s="47">
        <v>15</v>
      </c>
      <c r="AG26" s="47">
        <v>8.5</v>
      </c>
      <c r="AH26" s="47">
        <v>23</v>
      </c>
      <c r="AI26" s="197">
        <f t="shared" si="2"/>
        <v>21.9681073075808</v>
      </c>
      <c r="AK26" s="47">
        <v>0.24</v>
      </c>
      <c r="AN26" s="47">
        <v>0.15</v>
      </c>
      <c r="AP26" s="47">
        <v>0.12</v>
      </c>
      <c r="AR26" s="197">
        <f t="shared" si="3"/>
        <v>0</v>
      </c>
      <c r="AT26" s="47">
        <v>100</v>
      </c>
      <c r="AW26" s="47">
        <v>160</v>
      </c>
      <c r="AY26" s="47">
        <v>120</v>
      </c>
      <c r="BA26" s="197">
        <f t="shared" si="4"/>
        <v>0</v>
      </c>
      <c r="BC26" s="47">
        <v>-98</v>
      </c>
      <c r="BF26" s="47">
        <v>-150</v>
      </c>
      <c r="BH26" s="47">
        <v>-120</v>
      </c>
      <c r="BJ26" s="197">
        <f t="shared" si="9"/>
        <v>0</v>
      </c>
      <c r="BL26" s="47">
        <v>7.5</v>
      </c>
      <c r="BO26" s="47">
        <v>7.6</v>
      </c>
      <c r="BR26" s="47">
        <v>7</v>
      </c>
      <c r="BU26" s="47">
        <v>110</v>
      </c>
      <c r="BX26" s="47">
        <v>5490</v>
      </c>
      <c r="BZ26" s="47">
        <v>9.3</v>
      </c>
      <c r="CB26" s="197">
        <f t="shared" si="5"/>
        <v>0</v>
      </c>
      <c r="CD26" s="47">
        <v>140</v>
      </c>
      <c r="CG26" s="47">
        <v>330</v>
      </c>
      <c r="CI26" s="47">
        <v>34</v>
      </c>
      <c r="CK26" s="197">
        <f t="shared" si="6"/>
        <v>0</v>
      </c>
      <c r="CS26" s="47">
        <v>24</v>
      </c>
      <c r="CT26" s="267">
        <f t="shared" si="8"/>
        <v>22.9232424079104</v>
      </c>
    </row>
    <row r="27" spans="9:98" ht="12.75">
      <c r="I27" s="174" t="s">
        <v>349</v>
      </c>
      <c r="J27" s="261">
        <v>2006</v>
      </c>
      <c r="K27" s="51">
        <v>0</v>
      </c>
      <c r="L27" s="51">
        <v>0</v>
      </c>
      <c r="M27" s="51">
        <v>0</v>
      </c>
      <c r="N27" s="51">
        <v>0</v>
      </c>
      <c r="O27" s="51">
        <v>0</v>
      </c>
      <c r="P27" s="51">
        <v>0</v>
      </c>
      <c r="Q27" s="51">
        <v>0</v>
      </c>
      <c r="S27" s="267">
        <f t="shared" si="7"/>
        <v>0</v>
      </c>
      <c r="T27" s="267">
        <f t="shared" si="7"/>
        <v>0</v>
      </c>
      <c r="U27" s="267">
        <f t="shared" si="7"/>
        <v>0</v>
      </c>
      <c r="V27" s="267">
        <f t="shared" si="7"/>
        <v>0</v>
      </c>
      <c r="W27" s="267">
        <f t="shared" si="7"/>
        <v>0</v>
      </c>
      <c r="X27" s="267">
        <f t="shared" si="7"/>
        <v>0</v>
      </c>
      <c r="Y27" s="267">
        <f t="shared" si="7"/>
        <v>0</v>
      </c>
      <c r="Z27" s="267">
        <f t="shared" si="1"/>
        <v>0</v>
      </c>
      <c r="AI27" s="197">
        <f t="shared" si="2"/>
        <v>0</v>
      </c>
      <c r="AR27" s="197">
        <f t="shared" si="3"/>
        <v>0</v>
      </c>
      <c r="BA27" s="197">
        <f t="shared" si="4"/>
        <v>0</v>
      </c>
      <c r="BJ27" s="197">
        <f t="shared" si="9"/>
        <v>0</v>
      </c>
      <c r="CB27" s="197">
        <f t="shared" si="5"/>
        <v>0</v>
      </c>
      <c r="CK27" s="197">
        <f t="shared" si="6"/>
        <v>0</v>
      </c>
      <c r="CT27" s="267">
        <f t="shared" si="8"/>
        <v>0</v>
      </c>
    </row>
    <row r="28" spans="9:98" ht="12.75">
      <c r="I28" s="174" t="s">
        <v>350</v>
      </c>
      <c r="J28" s="261">
        <v>2006</v>
      </c>
      <c r="K28" s="51">
        <v>0</v>
      </c>
      <c r="L28" s="51">
        <v>0</v>
      </c>
      <c r="M28" s="51">
        <v>0</v>
      </c>
      <c r="N28" s="51">
        <v>0</v>
      </c>
      <c r="O28" s="51">
        <v>0</v>
      </c>
      <c r="P28" s="51">
        <v>0</v>
      </c>
      <c r="Q28" s="51">
        <v>0</v>
      </c>
      <c r="S28" s="267">
        <f t="shared" si="7"/>
        <v>0</v>
      </c>
      <c r="T28" s="267">
        <f t="shared" si="7"/>
        <v>0</v>
      </c>
      <c r="U28" s="267">
        <f t="shared" si="7"/>
        <v>0</v>
      </c>
      <c r="V28" s="267">
        <f t="shared" si="7"/>
        <v>0</v>
      </c>
      <c r="W28" s="267">
        <f t="shared" si="7"/>
        <v>0</v>
      </c>
      <c r="X28" s="267">
        <f t="shared" si="7"/>
        <v>0</v>
      </c>
      <c r="Y28" s="267">
        <f t="shared" si="7"/>
        <v>0</v>
      </c>
      <c r="Z28" s="267">
        <f t="shared" si="1"/>
        <v>0</v>
      </c>
      <c r="AI28" s="197">
        <f t="shared" si="2"/>
        <v>0</v>
      </c>
      <c r="AR28" s="197">
        <f t="shared" si="3"/>
        <v>0</v>
      </c>
      <c r="BA28" s="197">
        <f t="shared" si="4"/>
        <v>0</v>
      </c>
      <c r="BJ28" s="197">
        <f t="shared" si="9"/>
        <v>0</v>
      </c>
      <c r="CB28" s="197">
        <f t="shared" si="5"/>
        <v>0</v>
      </c>
      <c r="CK28" s="197">
        <f t="shared" si="6"/>
        <v>0</v>
      </c>
      <c r="CT28" s="267">
        <f t="shared" si="8"/>
        <v>0</v>
      </c>
    </row>
    <row r="29" spans="9:98" ht="12.75">
      <c r="I29" s="174" t="s">
        <v>339</v>
      </c>
      <c r="J29" s="261">
        <v>2006</v>
      </c>
      <c r="K29" s="51">
        <v>0</v>
      </c>
      <c r="L29" s="51">
        <v>2.56</v>
      </c>
      <c r="M29" s="51">
        <v>0.0078</v>
      </c>
      <c r="N29" s="51">
        <v>9.6</v>
      </c>
      <c r="O29" s="51">
        <v>0</v>
      </c>
      <c r="P29" s="51">
        <v>0</v>
      </c>
      <c r="Q29" s="51">
        <v>0</v>
      </c>
      <c r="S29" s="267">
        <f t="shared" si="7"/>
        <v>0</v>
      </c>
      <c r="T29" s="267">
        <f t="shared" si="7"/>
        <v>9690654.1568</v>
      </c>
      <c r="U29" s="267">
        <f t="shared" si="7"/>
        <v>29526.211884</v>
      </c>
      <c r="V29" s="267">
        <f t="shared" si="7"/>
        <v>36339953.088</v>
      </c>
      <c r="W29" s="267">
        <f t="shared" si="7"/>
        <v>0</v>
      </c>
      <c r="X29" s="267">
        <f t="shared" si="7"/>
        <v>0</v>
      </c>
      <c r="Y29" s="267">
        <f t="shared" si="7"/>
        <v>0</v>
      </c>
      <c r="Z29" s="267">
        <f t="shared" si="1"/>
        <v>46060133.456684</v>
      </c>
      <c r="AC29" s="47">
        <v>13</v>
      </c>
      <c r="AD29" s="47">
        <v>27</v>
      </c>
      <c r="AE29" s="47">
        <v>38</v>
      </c>
      <c r="AI29" s="197">
        <f t="shared" si="2"/>
        <v>45833.89544473934</v>
      </c>
      <c r="AL29" s="47">
        <v>0.26</v>
      </c>
      <c r="AN29" s="47">
        <v>0.17</v>
      </c>
      <c r="AR29" s="197">
        <f t="shared" si="3"/>
        <v>264.3998080141312</v>
      </c>
      <c r="AU29" s="47">
        <v>130</v>
      </c>
      <c r="AW29" s="47">
        <v>240</v>
      </c>
      <c r="BA29" s="197">
        <f t="shared" si="4"/>
        <v>303433.7629577216</v>
      </c>
      <c r="BD29" s="47">
        <v>-120</v>
      </c>
      <c r="BF29" s="47">
        <v>-240</v>
      </c>
      <c r="BJ29" s="197">
        <f t="shared" si="9"/>
        <v>-300487.8040940543</v>
      </c>
      <c r="BM29" s="47">
        <v>8</v>
      </c>
      <c r="BN29" s="47">
        <v>7.6</v>
      </c>
      <c r="BO29" s="47">
        <v>8.3</v>
      </c>
      <c r="BV29" s="47">
        <v>2350</v>
      </c>
      <c r="BX29" s="47">
        <v>9200</v>
      </c>
      <c r="CB29" s="197">
        <f t="shared" si="5"/>
        <v>10855858.41261363</v>
      </c>
      <c r="CE29" s="47">
        <v>960</v>
      </c>
      <c r="CG29" s="47">
        <v>550</v>
      </c>
      <c r="CK29" s="197">
        <f t="shared" si="6"/>
        <v>890416.0665434111</v>
      </c>
      <c r="CO29" s="47">
        <v>20</v>
      </c>
      <c r="CT29" s="267">
        <f t="shared" si="8"/>
        <v>17.951936825472</v>
      </c>
    </row>
    <row r="30" spans="9:98" ht="12.75">
      <c r="I30" s="174" t="s">
        <v>340</v>
      </c>
      <c r="J30" s="261">
        <v>2006</v>
      </c>
      <c r="K30" s="51">
        <v>0.058</v>
      </c>
      <c r="L30" s="51">
        <v>0</v>
      </c>
      <c r="M30" s="51">
        <v>0</v>
      </c>
      <c r="N30" s="51">
        <v>0</v>
      </c>
      <c r="O30" s="51">
        <v>0</v>
      </c>
      <c r="P30" s="51">
        <v>0.44</v>
      </c>
      <c r="Q30" s="51">
        <v>0.0093</v>
      </c>
      <c r="S30" s="267">
        <f t="shared" si="7"/>
        <v>219553.88324</v>
      </c>
      <c r="T30" s="267">
        <f t="shared" si="7"/>
        <v>0</v>
      </c>
      <c r="U30" s="267">
        <f t="shared" si="7"/>
        <v>0</v>
      </c>
      <c r="V30" s="267">
        <f t="shared" si="7"/>
        <v>0</v>
      </c>
      <c r="W30" s="267">
        <f t="shared" si="7"/>
        <v>0</v>
      </c>
      <c r="X30" s="267">
        <f t="shared" si="7"/>
        <v>1665581.1832</v>
      </c>
      <c r="Y30" s="267">
        <f t="shared" si="7"/>
        <v>35204.329554</v>
      </c>
      <c r="Z30" s="267">
        <f t="shared" si="1"/>
        <v>1920339.3959940001</v>
      </c>
      <c r="AB30" s="47">
        <v>23</v>
      </c>
      <c r="AG30" s="47">
        <v>13</v>
      </c>
      <c r="AH30" s="47">
        <v>5</v>
      </c>
      <c r="AI30" s="197">
        <f t="shared" si="2"/>
        <v>817.100816854256</v>
      </c>
      <c r="AK30" s="47">
        <v>1.18</v>
      </c>
      <c r="AP30" s="47">
        <v>0.45</v>
      </c>
      <c r="AR30" s="197">
        <f t="shared" si="3"/>
        <v>30.660987485761282</v>
      </c>
      <c r="AT30" s="47">
        <v>80</v>
      </c>
      <c r="AY30" s="47">
        <v>84</v>
      </c>
      <c r="BA30" s="197">
        <f t="shared" si="4"/>
        <v>4787.183153459199</v>
      </c>
      <c r="BC30" s="47">
        <v>-78</v>
      </c>
      <c r="BH30" s="47">
        <v>-78</v>
      </c>
      <c r="BJ30" s="197">
        <f t="shared" si="9"/>
        <v>-4470.0322695425275</v>
      </c>
      <c r="BL30" s="47">
        <v>7.8</v>
      </c>
      <c r="BQ30" s="47">
        <v>7.8</v>
      </c>
      <c r="BR30" s="47">
        <v>8.2</v>
      </c>
      <c r="BU30" s="47">
        <v>65</v>
      </c>
      <c r="BZ30" s="47">
        <v>15</v>
      </c>
      <c r="CB30" s="197">
        <f t="shared" si="5"/>
        <v>1193.34349282144</v>
      </c>
      <c r="CD30" s="47">
        <v>60</v>
      </c>
      <c r="CI30" s="47">
        <v>43</v>
      </c>
      <c r="CK30" s="197">
        <f t="shared" si="6"/>
        <v>2577.7140057088</v>
      </c>
      <c r="CS30" s="47">
        <v>2.9</v>
      </c>
      <c r="CT30" s="267">
        <f t="shared" si="8"/>
        <v>3.1036136934806398</v>
      </c>
    </row>
    <row r="31" spans="9:98" ht="12.75">
      <c r="I31" s="174" t="s">
        <v>341</v>
      </c>
      <c r="J31" s="261">
        <v>2006</v>
      </c>
      <c r="K31" s="51">
        <v>0</v>
      </c>
      <c r="L31" s="51">
        <v>0</v>
      </c>
      <c r="M31" s="51">
        <v>0</v>
      </c>
      <c r="N31" s="51">
        <v>0</v>
      </c>
      <c r="O31" s="51">
        <v>0</v>
      </c>
      <c r="P31" s="51">
        <v>0</v>
      </c>
      <c r="Q31" s="51">
        <v>0</v>
      </c>
      <c r="S31" s="267">
        <f t="shared" si="7"/>
        <v>0</v>
      </c>
      <c r="T31" s="267">
        <f t="shared" si="7"/>
        <v>0</v>
      </c>
      <c r="U31" s="267">
        <f t="shared" si="7"/>
        <v>0</v>
      </c>
      <c r="V31" s="267">
        <f t="shared" si="7"/>
        <v>0</v>
      </c>
      <c r="W31" s="267">
        <f t="shared" si="7"/>
        <v>0</v>
      </c>
      <c r="X31" s="267">
        <f t="shared" si="7"/>
        <v>0</v>
      </c>
      <c r="Y31" s="267">
        <f t="shared" si="7"/>
        <v>0</v>
      </c>
      <c r="Z31" s="267">
        <f t="shared" si="1"/>
        <v>0</v>
      </c>
      <c r="AI31" s="197">
        <f t="shared" si="2"/>
        <v>0</v>
      </c>
      <c r="AR31" s="197">
        <f t="shared" si="3"/>
        <v>0</v>
      </c>
      <c r="BA31" s="197">
        <f t="shared" si="4"/>
        <v>0</v>
      </c>
      <c r="BJ31" s="197">
        <f t="shared" si="9"/>
        <v>0</v>
      </c>
      <c r="CB31" s="197">
        <f t="shared" si="5"/>
        <v>0</v>
      </c>
      <c r="CK31" s="197">
        <f t="shared" si="6"/>
        <v>0</v>
      </c>
      <c r="CT31" s="267">
        <f t="shared" si="8"/>
        <v>0</v>
      </c>
    </row>
    <row r="32" spans="9:98" ht="12.75">
      <c r="I32" s="174" t="s">
        <v>342</v>
      </c>
      <c r="J32" s="261">
        <v>2005</v>
      </c>
      <c r="K32" s="51">
        <v>0.05</v>
      </c>
      <c r="L32" s="51">
        <v>2.4</v>
      </c>
      <c r="M32" s="51">
        <v>0</v>
      </c>
      <c r="N32" s="51">
        <v>11</v>
      </c>
      <c r="O32" s="51">
        <v>0</v>
      </c>
      <c r="P32" s="51">
        <v>0.1</v>
      </c>
      <c r="Q32" s="51">
        <v>0</v>
      </c>
      <c r="S32" s="267">
        <f t="shared" si="7"/>
        <v>189270.589</v>
      </c>
      <c r="T32" s="267">
        <f t="shared" si="7"/>
        <v>9084988.272</v>
      </c>
      <c r="U32" s="267">
        <f t="shared" si="7"/>
        <v>0</v>
      </c>
      <c r="V32" s="267">
        <f t="shared" si="7"/>
        <v>41639529.58</v>
      </c>
      <c r="W32" s="267">
        <f t="shared" si="7"/>
        <v>0</v>
      </c>
      <c r="X32" s="267">
        <f t="shared" si="7"/>
        <v>378541.178</v>
      </c>
      <c r="Y32" s="267">
        <f t="shared" si="7"/>
        <v>0</v>
      </c>
      <c r="Z32" s="267">
        <f t="shared" si="1"/>
        <v>51292329.619</v>
      </c>
      <c r="AI32" s="197">
        <f t="shared" si="2"/>
        <v>0</v>
      </c>
      <c r="AR32" s="197">
        <f t="shared" si="3"/>
        <v>0</v>
      </c>
      <c r="BA32" s="197">
        <f t="shared" si="4"/>
        <v>0</v>
      </c>
      <c r="BJ32" s="197">
        <f t="shared" si="9"/>
        <v>0</v>
      </c>
      <c r="BL32" s="47">
        <v>7.6</v>
      </c>
      <c r="BM32" s="47">
        <v>7.4</v>
      </c>
      <c r="BO32" s="47">
        <v>7.9</v>
      </c>
      <c r="BQ32" s="47">
        <v>7.9</v>
      </c>
      <c r="CB32" s="197">
        <f t="shared" si="5"/>
        <v>0</v>
      </c>
      <c r="CK32" s="197">
        <f t="shared" si="6"/>
        <v>0</v>
      </c>
      <c r="CT32" s="267">
        <f t="shared" si="8"/>
        <v>0</v>
      </c>
    </row>
    <row r="33" spans="9:98" ht="12.75">
      <c r="I33" s="174" t="s">
        <v>343</v>
      </c>
      <c r="J33" s="261">
        <v>2005</v>
      </c>
      <c r="K33" s="51">
        <v>0.06</v>
      </c>
      <c r="L33" s="51">
        <v>0.115</v>
      </c>
      <c r="M33" s="51">
        <v>0</v>
      </c>
      <c r="N33" s="51">
        <v>0</v>
      </c>
      <c r="O33" s="51">
        <v>0</v>
      </c>
      <c r="P33" s="51">
        <v>0.04</v>
      </c>
      <c r="Q33" s="51">
        <v>0.007</v>
      </c>
      <c r="S33" s="267">
        <f t="shared" si="7"/>
        <v>227124.7068</v>
      </c>
      <c r="T33" s="267">
        <f t="shared" si="7"/>
        <v>435322.3547</v>
      </c>
      <c r="U33" s="267">
        <f t="shared" si="7"/>
        <v>0</v>
      </c>
      <c r="V33" s="267">
        <f t="shared" si="7"/>
        <v>0</v>
      </c>
      <c r="W33" s="267">
        <f t="shared" si="7"/>
        <v>0</v>
      </c>
      <c r="X33" s="267">
        <f t="shared" si="7"/>
        <v>151416.4712</v>
      </c>
      <c r="Y33" s="267">
        <f t="shared" si="7"/>
        <v>26497.88246</v>
      </c>
      <c r="Z33" s="267">
        <f t="shared" si="1"/>
        <v>840361.4151600001</v>
      </c>
      <c r="AB33" s="47">
        <v>18</v>
      </c>
      <c r="AC33" s="47">
        <v>35</v>
      </c>
      <c r="AG33" s="47">
        <v>15</v>
      </c>
      <c r="AH33" s="47">
        <v>8</v>
      </c>
      <c r="AI33" s="197">
        <f t="shared" si="2"/>
        <v>662.955820843232</v>
      </c>
      <c r="AK33" s="47">
        <v>0.35</v>
      </c>
      <c r="AL33" s="47">
        <v>0.17</v>
      </c>
      <c r="AP33" s="47">
        <v>0.07</v>
      </c>
      <c r="AR33" s="197">
        <f t="shared" si="3"/>
        <v>4.988567060155201</v>
      </c>
      <c r="AT33" s="47">
        <v>97</v>
      </c>
      <c r="AU33" s="47">
        <v>150</v>
      </c>
      <c r="AY33" s="47">
        <v>100</v>
      </c>
      <c r="BA33" s="197">
        <f t="shared" si="4"/>
        <v>3115.1213452918405</v>
      </c>
      <c r="BC33" s="47">
        <v>-100</v>
      </c>
      <c r="BD33" s="47">
        <v>-130</v>
      </c>
      <c r="BH33" s="47">
        <v>-100</v>
      </c>
      <c r="BJ33" s="197">
        <f t="shared" si="9"/>
        <v>-2871.1591268944003</v>
      </c>
      <c r="BL33" s="47">
        <v>7.5</v>
      </c>
      <c r="BM33" s="47">
        <v>8.1</v>
      </c>
      <c r="BQ33" s="47">
        <v>8.1</v>
      </c>
      <c r="BR33" s="47">
        <v>7.5</v>
      </c>
      <c r="BU33" s="47">
        <v>75</v>
      </c>
      <c r="BV33" s="47">
        <v>450</v>
      </c>
      <c r="BZ33" s="47">
        <v>13</v>
      </c>
      <c r="CB33" s="197">
        <f t="shared" si="5"/>
        <v>6532.89393321824</v>
      </c>
      <c r="CD33" s="47">
        <v>92</v>
      </c>
      <c r="CE33" s="47">
        <v>1020</v>
      </c>
      <c r="CI33" s="47">
        <v>38</v>
      </c>
      <c r="CK33" s="197">
        <f t="shared" si="6"/>
        <v>14308.614262046081</v>
      </c>
      <c r="CS33" s="47">
        <v>11</v>
      </c>
      <c r="CT33" s="267">
        <f t="shared" si="8"/>
        <v>8.860891894624</v>
      </c>
    </row>
    <row r="34" spans="9:98" ht="12.75">
      <c r="I34" s="174" t="s">
        <v>344</v>
      </c>
      <c r="J34" s="261">
        <v>2006</v>
      </c>
      <c r="K34" s="51">
        <v>0.083</v>
      </c>
      <c r="L34" s="51">
        <v>0.108</v>
      </c>
      <c r="M34" s="51">
        <v>0.0076</v>
      </c>
      <c r="N34" s="51">
        <v>0</v>
      </c>
      <c r="O34" s="51">
        <v>0</v>
      </c>
      <c r="P34" s="51">
        <v>0.062</v>
      </c>
      <c r="Q34" s="51">
        <v>0.008</v>
      </c>
      <c r="S34" s="267">
        <f t="shared" si="7"/>
        <v>314189.17774</v>
      </c>
      <c r="T34" s="267">
        <f t="shared" si="7"/>
        <v>408824.47224</v>
      </c>
      <c r="U34" s="267">
        <f t="shared" si="7"/>
        <v>28769.129528</v>
      </c>
      <c r="V34" s="267">
        <f t="shared" si="7"/>
        <v>0</v>
      </c>
      <c r="W34" s="267">
        <f t="shared" si="7"/>
        <v>0</v>
      </c>
      <c r="X34" s="267">
        <f t="shared" si="7"/>
        <v>234695.53036</v>
      </c>
      <c r="Y34" s="267">
        <f t="shared" si="7"/>
        <v>30283.29424</v>
      </c>
      <c r="Z34" s="267">
        <f t="shared" si="1"/>
        <v>1016761.6041079999</v>
      </c>
      <c r="AB34" s="47">
        <v>34</v>
      </c>
      <c r="AC34" s="47">
        <v>31</v>
      </c>
      <c r="AD34" s="47">
        <v>9</v>
      </c>
      <c r="AG34" s="47">
        <v>12</v>
      </c>
      <c r="AH34" s="47">
        <v>8</v>
      </c>
      <c r="AI34" s="197">
        <f t="shared" si="2"/>
        <v>810.8751772243968</v>
      </c>
      <c r="AK34" s="47">
        <v>0.55</v>
      </c>
      <c r="AL34" s="47">
        <v>0.34</v>
      </c>
      <c r="AP34" s="47">
        <v>0.16</v>
      </c>
      <c r="AR34" s="197">
        <f t="shared" si="3"/>
        <v>10.62041185655648</v>
      </c>
      <c r="AT34" s="47">
        <v>71</v>
      </c>
      <c r="AU34" s="47">
        <v>100</v>
      </c>
      <c r="AY34" s="47">
        <v>85</v>
      </c>
      <c r="BA34" s="197">
        <f t="shared" si="4"/>
        <v>2527.425567293856</v>
      </c>
      <c r="BC34" s="47">
        <v>-64</v>
      </c>
      <c r="BD34" s="47">
        <v>-53</v>
      </c>
      <c r="BH34" s="47">
        <v>-81</v>
      </c>
      <c r="BJ34" s="197">
        <f t="shared" si="9"/>
        <v>-1847.898727842496</v>
      </c>
      <c r="BL34" s="47">
        <v>8.1</v>
      </c>
      <c r="BM34" s="47">
        <v>7.9</v>
      </c>
      <c r="BN34" s="47">
        <v>7.8</v>
      </c>
      <c r="BQ34" s="47">
        <v>8</v>
      </c>
      <c r="BR34" s="47">
        <v>7.4</v>
      </c>
      <c r="BU34" s="47">
        <v>81</v>
      </c>
      <c r="BV34" s="47">
        <v>620</v>
      </c>
      <c r="BZ34" s="47">
        <v>15</v>
      </c>
      <c r="CB34" s="197">
        <f t="shared" si="5"/>
        <v>8586.204245890654</v>
      </c>
      <c r="CD34" s="47">
        <v>120</v>
      </c>
      <c r="CE34" s="47">
        <v>810</v>
      </c>
      <c r="CI34" s="47">
        <v>61</v>
      </c>
      <c r="CK34" s="197">
        <f t="shared" si="6"/>
        <v>11648.275316332865</v>
      </c>
      <c r="CO34" s="47">
        <v>6.8</v>
      </c>
      <c r="CS34" s="47">
        <v>5.9</v>
      </c>
      <c r="CT34" s="267">
        <f t="shared" si="8"/>
        <v>11.378766110914562</v>
      </c>
    </row>
    <row r="35" spans="9:98" ht="12.75">
      <c r="I35" s="174" t="s">
        <v>345</v>
      </c>
      <c r="J35" s="261">
        <v>2005</v>
      </c>
      <c r="K35" s="51">
        <v>0</v>
      </c>
      <c r="L35" s="51">
        <v>0</v>
      </c>
      <c r="M35" s="51">
        <v>0</v>
      </c>
      <c r="N35" s="51">
        <v>0</v>
      </c>
      <c r="O35" s="51">
        <v>0</v>
      </c>
      <c r="P35" s="51">
        <v>0</v>
      </c>
      <c r="Q35" s="51">
        <v>0</v>
      </c>
      <c r="S35" s="267">
        <f t="shared" si="7"/>
        <v>0</v>
      </c>
      <c r="T35" s="267">
        <f t="shared" si="7"/>
        <v>0</v>
      </c>
      <c r="U35" s="267">
        <f t="shared" si="7"/>
        <v>0</v>
      </c>
      <c r="V35" s="267">
        <f t="shared" si="7"/>
        <v>0</v>
      </c>
      <c r="W35" s="267">
        <f t="shared" si="7"/>
        <v>0</v>
      </c>
      <c r="X35" s="267">
        <f t="shared" si="7"/>
        <v>0</v>
      </c>
      <c r="Y35" s="267">
        <f t="shared" si="7"/>
        <v>0</v>
      </c>
      <c r="Z35" s="267">
        <f t="shared" si="1"/>
        <v>0</v>
      </c>
      <c r="AI35" s="197">
        <f t="shared" si="2"/>
        <v>0</v>
      </c>
      <c r="AR35" s="197">
        <f t="shared" si="3"/>
        <v>0</v>
      </c>
      <c r="BA35" s="197">
        <f t="shared" si="4"/>
        <v>0</v>
      </c>
      <c r="BJ35" s="197">
        <f t="shared" si="9"/>
        <v>0</v>
      </c>
      <c r="CB35" s="197">
        <f t="shared" si="5"/>
        <v>0</v>
      </c>
      <c r="CK35" s="197">
        <f t="shared" si="6"/>
        <v>0</v>
      </c>
      <c r="CT35" s="267">
        <f t="shared" si="8"/>
        <v>0</v>
      </c>
    </row>
    <row r="36" spans="9:98" ht="12.75">
      <c r="I36" s="174" t="s">
        <v>346</v>
      </c>
      <c r="J36" s="261">
        <v>2005</v>
      </c>
      <c r="K36" s="51">
        <v>0</v>
      </c>
      <c r="L36" s="51">
        <v>0</v>
      </c>
      <c r="M36" s="51">
        <v>0</v>
      </c>
      <c r="N36" s="51">
        <v>0</v>
      </c>
      <c r="O36" s="51">
        <v>0</v>
      </c>
      <c r="P36" s="51">
        <v>0</v>
      </c>
      <c r="Q36" s="51">
        <v>0</v>
      </c>
      <c r="S36" s="267">
        <f t="shared" si="7"/>
        <v>0</v>
      </c>
      <c r="T36" s="267">
        <f t="shared" si="7"/>
        <v>0</v>
      </c>
      <c r="U36" s="267">
        <f t="shared" si="7"/>
        <v>0</v>
      </c>
      <c r="V36" s="267">
        <f t="shared" si="7"/>
        <v>0</v>
      </c>
      <c r="W36" s="267">
        <f t="shared" si="7"/>
        <v>0</v>
      </c>
      <c r="X36" s="267">
        <f t="shared" si="7"/>
        <v>0</v>
      </c>
      <c r="Y36" s="267">
        <f t="shared" si="7"/>
        <v>0</v>
      </c>
      <c r="Z36" s="267">
        <f t="shared" si="1"/>
        <v>0</v>
      </c>
      <c r="AI36" s="197">
        <f t="shared" si="2"/>
        <v>0</v>
      </c>
      <c r="AR36" s="197">
        <f t="shared" si="3"/>
        <v>0</v>
      </c>
      <c r="BA36" s="197">
        <f t="shared" si="4"/>
        <v>0</v>
      </c>
      <c r="BJ36" s="197">
        <f t="shared" si="9"/>
        <v>0</v>
      </c>
      <c r="CB36" s="197">
        <f t="shared" si="5"/>
        <v>0</v>
      </c>
      <c r="CK36" s="197">
        <f t="shared" si="6"/>
        <v>0</v>
      </c>
      <c r="CT36" s="267">
        <f t="shared" si="8"/>
        <v>0</v>
      </c>
    </row>
    <row r="37" spans="9:98" ht="12.75">
      <c r="I37" s="174" t="s">
        <v>347</v>
      </c>
      <c r="J37" s="261">
        <v>2005</v>
      </c>
      <c r="K37" s="51">
        <v>0</v>
      </c>
      <c r="L37" s="51">
        <v>0</v>
      </c>
      <c r="M37" s="51">
        <v>0</v>
      </c>
      <c r="N37" s="51">
        <v>0</v>
      </c>
      <c r="O37" s="51">
        <v>0</v>
      </c>
      <c r="P37" s="51">
        <v>0</v>
      </c>
      <c r="Q37" s="51">
        <v>0</v>
      </c>
      <c r="S37" s="267">
        <f t="shared" si="7"/>
        <v>0</v>
      </c>
      <c r="T37" s="267">
        <f t="shared" si="7"/>
        <v>0</v>
      </c>
      <c r="U37" s="267">
        <f t="shared" si="7"/>
        <v>0</v>
      </c>
      <c r="V37" s="267">
        <f t="shared" si="7"/>
        <v>0</v>
      </c>
      <c r="W37" s="267">
        <f t="shared" si="7"/>
        <v>0</v>
      </c>
      <c r="X37" s="267">
        <f t="shared" si="7"/>
        <v>0</v>
      </c>
      <c r="Y37" s="267">
        <f t="shared" si="7"/>
        <v>0</v>
      </c>
      <c r="Z37" s="267">
        <f t="shared" si="1"/>
        <v>0</v>
      </c>
      <c r="AI37" s="197">
        <f t="shared" si="2"/>
        <v>0</v>
      </c>
      <c r="AR37" s="197">
        <f t="shared" si="3"/>
        <v>0</v>
      </c>
      <c r="BA37" s="197">
        <f t="shared" si="4"/>
        <v>0</v>
      </c>
      <c r="BJ37" s="197">
        <f t="shared" si="9"/>
        <v>0</v>
      </c>
      <c r="CB37" s="197">
        <f t="shared" si="5"/>
        <v>0</v>
      </c>
      <c r="CK37" s="197">
        <f t="shared" si="6"/>
        <v>0</v>
      </c>
      <c r="CT37" s="267">
        <f t="shared" si="8"/>
        <v>0</v>
      </c>
    </row>
    <row r="38" spans="9:98" ht="12.75">
      <c r="I38" s="174" t="s">
        <v>348</v>
      </c>
      <c r="J38" s="261">
        <v>2005</v>
      </c>
      <c r="K38" s="51">
        <v>0</v>
      </c>
      <c r="L38" s="51">
        <v>0</v>
      </c>
      <c r="M38" s="51">
        <v>0</v>
      </c>
      <c r="N38" s="51">
        <v>0</v>
      </c>
      <c r="O38" s="51">
        <v>0</v>
      </c>
      <c r="P38" s="51">
        <v>0</v>
      </c>
      <c r="Q38" s="51">
        <v>0</v>
      </c>
      <c r="S38" s="267">
        <f t="shared" si="7"/>
        <v>0</v>
      </c>
      <c r="T38" s="267">
        <f t="shared" si="7"/>
        <v>0</v>
      </c>
      <c r="U38" s="267">
        <f t="shared" si="7"/>
        <v>0</v>
      </c>
      <c r="V38" s="267">
        <f t="shared" si="7"/>
        <v>0</v>
      </c>
      <c r="W38" s="267">
        <f t="shared" si="7"/>
        <v>0</v>
      </c>
      <c r="X38" s="267">
        <f t="shared" si="7"/>
        <v>0</v>
      </c>
      <c r="Y38" s="267">
        <f t="shared" si="7"/>
        <v>0</v>
      </c>
      <c r="Z38" s="267">
        <f t="shared" si="1"/>
        <v>0</v>
      </c>
      <c r="AI38" s="197">
        <f t="shared" si="2"/>
        <v>0</v>
      </c>
      <c r="AR38" s="197">
        <f t="shared" si="3"/>
        <v>0</v>
      </c>
      <c r="BA38" s="197">
        <f t="shared" si="4"/>
        <v>0</v>
      </c>
      <c r="BJ38" s="197">
        <f t="shared" si="9"/>
        <v>0</v>
      </c>
      <c r="CB38" s="197">
        <f t="shared" si="5"/>
        <v>0</v>
      </c>
      <c r="CK38" s="197">
        <f t="shared" si="6"/>
        <v>0</v>
      </c>
      <c r="CT38" s="267">
        <f t="shared" si="8"/>
        <v>0</v>
      </c>
    </row>
    <row r="39" spans="9:98" ht="12.75">
      <c r="I39" s="174" t="s">
        <v>349</v>
      </c>
      <c r="J39" s="261">
        <v>2005</v>
      </c>
      <c r="K39" s="51">
        <v>0</v>
      </c>
      <c r="L39" s="51">
        <v>0</v>
      </c>
      <c r="M39" s="51">
        <v>0</v>
      </c>
      <c r="N39" s="51">
        <v>0</v>
      </c>
      <c r="O39" s="51">
        <v>0</v>
      </c>
      <c r="P39" s="51">
        <v>0</v>
      </c>
      <c r="Q39" s="51">
        <v>0</v>
      </c>
      <c r="S39" s="267">
        <f t="shared" si="7"/>
        <v>0</v>
      </c>
      <c r="T39" s="267">
        <f t="shared" si="7"/>
        <v>0</v>
      </c>
      <c r="U39" s="267">
        <f t="shared" si="7"/>
        <v>0</v>
      </c>
      <c r="V39" s="267">
        <f t="shared" si="7"/>
        <v>0</v>
      </c>
      <c r="W39" s="267">
        <f t="shared" si="7"/>
        <v>0</v>
      </c>
      <c r="X39" s="267">
        <f t="shared" si="7"/>
        <v>0</v>
      </c>
      <c r="Y39" s="267">
        <f t="shared" si="7"/>
        <v>0</v>
      </c>
      <c r="Z39" s="267">
        <f t="shared" si="1"/>
        <v>0</v>
      </c>
      <c r="AI39" s="197">
        <f t="shared" si="2"/>
        <v>0</v>
      </c>
      <c r="AR39" s="197">
        <f t="shared" si="3"/>
        <v>0</v>
      </c>
      <c r="BA39" s="197">
        <f t="shared" si="4"/>
        <v>0</v>
      </c>
      <c r="BJ39" s="197">
        <f t="shared" si="9"/>
        <v>0</v>
      </c>
      <c r="CB39" s="197">
        <f t="shared" si="5"/>
        <v>0</v>
      </c>
      <c r="CK39" s="197">
        <f t="shared" si="6"/>
        <v>0</v>
      </c>
      <c r="CT39" s="267">
        <f t="shared" si="8"/>
        <v>0</v>
      </c>
    </row>
    <row r="40" spans="9:98" ht="12.75">
      <c r="I40" s="174" t="s">
        <v>350</v>
      </c>
      <c r="J40" s="261">
        <v>2005</v>
      </c>
      <c r="K40" s="51">
        <v>0</v>
      </c>
      <c r="L40" s="51">
        <v>0</v>
      </c>
      <c r="M40" s="51">
        <v>0</v>
      </c>
      <c r="N40" s="51">
        <v>0</v>
      </c>
      <c r="O40" s="51">
        <v>0</v>
      </c>
      <c r="P40" s="51">
        <v>0</v>
      </c>
      <c r="Q40" s="51">
        <v>0</v>
      </c>
      <c r="S40" s="267">
        <f t="shared" si="7"/>
        <v>0</v>
      </c>
      <c r="T40" s="267">
        <f t="shared" si="7"/>
        <v>0</v>
      </c>
      <c r="U40" s="267">
        <f t="shared" si="7"/>
        <v>0</v>
      </c>
      <c r="V40" s="267">
        <f t="shared" si="7"/>
        <v>0</v>
      </c>
      <c r="W40" s="267">
        <f t="shared" si="7"/>
        <v>0</v>
      </c>
      <c r="X40" s="267">
        <f t="shared" si="7"/>
        <v>0</v>
      </c>
      <c r="Y40" s="267">
        <f t="shared" si="7"/>
        <v>0</v>
      </c>
      <c r="Z40" s="267">
        <f t="shared" si="1"/>
        <v>0</v>
      </c>
      <c r="AI40" s="197">
        <f t="shared" si="2"/>
        <v>0</v>
      </c>
      <c r="AR40" s="197">
        <f t="shared" si="3"/>
        <v>0</v>
      </c>
      <c r="BA40" s="197">
        <f t="shared" si="4"/>
        <v>0</v>
      </c>
      <c r="BJ40" s="197">
        <f t="shared" si="9"/>
        <v>0</v>
      </c>
      <c r="CB40" s="197">
        <f t="shared" si="5"/>
        <v>0</v>
      </c>
      <c r="CK40" s="197">
        <f t="shared" si="6"/>
        <v>0</v>
      </c>
      <c r="CT40" s="267">
        <f t="shared" si="8"/>
        <v>0</v>
      </c>
    </row>
    <row r="41" spans="9:98" ht="12.75">
      <c r="I41" s="174" t="s">
        <v>339</v>
      </c>
      <c r="J41" s="261">
        <v>2005</v>
      </c>
      <c r="K41" s="51">
        <v>0</v>
      </c>
      <c r="L41" s="51">
        <v>0</v>
      </c>
      <c r="M41" s="51">
        <v>0</v>
      </c>
      <c r="N41" s="51">
        <v>0</v>
      </c>
      <c r="O41" s="51">
        <v>0</v>
      </c>
      <c r="P41" s="51">
        <v>0</v>
      </c>
      <c r="Q41" s="51">
        <v>0</v>
      </c>
      <c r="S41" s="267">
        <f t="shared" si="7"/>
        <v>0</v>
      </c>
      <c r="T41" s="267">
        <f t="shared" si="7"/>
        <v>0</v>
      </c>
      <c r="U41" s="267">
        <f t="shared" si="7"/>
        <v>0</v>
      </c>
      <c r="V41" s="267">
        <f t="shared" si="7"/>
        <v>0</v>
      </c>
      <c r="W41" s="267">
        <f t="shared" si="7"/>
        <v>0</v>
      </c>
      <c r="X41" s="267">
        <f t="shared" si="7"/>
        <v>0</v>
      </c>
      <c r="Y41" s="267">
        <f>(Q41*1000000)*3.78541178</f>
        <v>0</v>
      </c>
      <c r="Z41" s="267">
        <f t="shared" si="1"/>
        <v>0</v>
      </c>
      <c r="AI41" s="197">
        <f t="shared" si="2"/>
        <v>0</v>
      </c>
      <c r="AR41" s="197">
        <f t="shared" si="3"/>
        <v>0</v>
      </c>
      <c r="BA41" s="197">
        <f t="shared" si="4"/>
        <v>0</v>
      </c>
      <c r="BJ41" s="197">
        <f t="shared" si="9"/>
        <v>0</v>
      </c>
      <c r="CB41" s="197">
        <f t="shared" si="5"/>
        <v>0</v>
      </c>
      <c r="CK41" s="197">
        <f t="shared" si="6"/>
        <v>0</v>
      </c>
      <c r="CT41" s="267">
        <f t="shared" si="8"/>
        <v>0</v>
      </c>
    </row>
    <row r="42" spans="9:98" ht="12.75">
      <c r="I42" s="174" t="s">
        <v>340</v>
      </c>
      <c r="J42" s="261">
        <v>2005</v>
      </c>
      <c r="K42" s="51">
        <v>0.06</v>
      </c>
      <c r="L42" s="51">
        <v>1.74</v>
      </c>
      <c r="M42" s="51">
        <v>0.009</v>
      </c>
      <c r="N42" s="51">
        <v>3.3</v>
      </c>
      <c r="O42" s="51">
        <v>0</v>
      </c>
      <c r="P42" s="51">
        <v>0.05</v>
      </c>
      <c r="Q42" s="51">
        <v>0.0088</v>
      </c>
      <c r="S42" s="267">
        <f t="shared" si="7"/>
        <v>227124.7068</v>
      </c>
      <c r="T42" s="267">
        <f t="shared" si="7"/>
        <v>6586616.4972</v>
      </c>
      <c r="U42" s="267">
        <f t="shared" si="7"/>
        <v>34068.70602</v>
      </c>
      <c r="V42" s="267">
        <f t="shared" si="7"/>
        <v>12491858.874</v>
      </c>
      <c r="W42" s="267">
        <f t="shared" si="7"/>
        <v>0</v>
      </c>
      <c r="X42" s="267">
        <f t="shared" si="7"/>
        <v>189270.589</v>
      </c>
      <c r="Y42" s="267">
        <f>(Q42*1000000)*3.78541178</f>
        <v>33311.623664</v>
      </c>
      <c r="Z42" s="267">
        <f t="shared" si="1"/>
        <v>19562250.996684</v>
      </c>
      <c r="AB42" s="47">
        <v>16</v>
      </c>
      <c r="AC42" s="47">
        <v>20</v>
      </c>
      <c r="AD42" s="47">
        <v>3</v>
      </c>
      <c r="AE42" s="47">
        <v>22</v>
      </c>
      <c r="AG42" s="47">
        <v>14</v>
      </c>
      <c r="AH42" s="47">
        <v>15</v>
      </c>
      <c r="AI42" s="197">
        <f t="shared" si="2"/>
        <v>12568.542231674528</v>
      </c>
      <c r="AK42" s="47">
        <v>0.36</v>
      </c>
      <c r="AL42" s="47">
        <v>0.34</v>
      </c>
      <c r="AN42" s="47">
        <v>0.15</v>
      </c>
      <c r="AP42" s="47">
        <v>0.29</v>
      </c>
      <c r="AR42" s="197">
        <f t="shared" si="3"/>
        <v>129.1964068843424</v>
      </c>
      <c r="AT42" s="47">
        <v>30</v>
      </c>
      <c r="AU42" s="47">
        <v>210</v>
      </c>
      <c r="AW42" s="47">
        <v>280</v>
      </c>
      <c r="AY42" s="47">
        <v>60</v>
      </c>
      <c r="BA42" s="197">
        <f t="shared" si="4"/>
        <v>148932.02974055038</v>
      </c>
      <c r="BC42" s="47">
        <v>-27</v>
      </c>
      <c r="BD42" s="47">
        <v>-210</v>
      </c>
      <c r="BF42" s="47">
        <v>-290</v>
      </c>
      <c r="BH42" s="47">
        <v>-56</v>
      </c>
      <c r="BJ42" s="197">
        <f t="shared" si="9"/>
        <v>-152685.8257613638</v>
      </c>
      <c r="BL42" s="47">
        <v>7.3</v>
      </c>
      <c r="BM42" s="47">
        <v>8</v>
      </c>
      <c r="BN42" s="47">
        <v>7.2</v>
      </c>
      <c r="BO42" s="47">
        <v>8.2</v>
      </c>
      <c r="BQ42" s="47">
        <v>7.8</v>
      </c>
      <c r="BR42" s="47">
        <v>7.2</v>
      </c>
      <c r="BU42" s="47">
        <v>42</v>
      </c>
      <c r="BV42" s="47">
        <v>4570</v>
      </c>
      <c r="BX42" s="47">
        <v>9040</v>
      </c>
      <c r="BZ42" s="47">
        <v>10</v>
      </c>
      <c r="CB42" s="197">
        <f t="shared" si="5"/>
        <v>4348375.676124883</v>
      </c>
      <c r="CD42" s="47">
        <v>38</v>
      </c>
      <c r="CE42" s="47">
        <v>1460</v>
      </c>
      <c r="CG42" s="47">
        <v>440</v>
      </c>
      <c r="CI42" s="47">
        <v>54</v>
      </c>
      <c r="CK42" s="197">
        <f t="shared" si="6"/>
        <v>460004.57197054656</v>
      </c>
      <c r="CO42" s="47">
        <v>11</v>
      </c>
      <c r="CS42" s="47">
        <v>9.5</v>
      </c>
      <c r="CT42" s="267">
        <f t="shared" si="8"/>
        <v>21.0129722072512</v>
      </c>
    </row>
    <row r="43" spans="9:98" ht="12.75">
      <c r="I43" s="174" t="s">
        <v>341</v>
      </c>
      <c r="J43" s="261">
        <v>2005</v>
      </c>
      <c r="K43" s="51">
        <v>0</v>
      </c>
      <c r="L43" s="51">
        <v>0</v>
      </c>
      <c r="M43" s="51">
        <v>0</v>
      </c>
      <c r="N43" s="51">
        <v>0</v>
      </c>
      <c r="O43" s="51">
        <v>0</v>
      </c>
      <c r="P43" s="51">
        <v>0</v>
      </c>
      <c r="Q43" s="51">
        <v>0</v>
      </c>
      <c r="S43" s="267">
        <f t="shared" si="7"/>
        <v>0</v>
      </c>
      <c r="T43" s="267">
        <f t="shared" si="7"/>
        <v>0</v>
      </c>
      <c r="U43" s="267">
        <f t="shared" si="7"/>
        <v>0</v>
      </c>
      <c r="V43" s="267">
        <f t="shared" si="7"/>
        <v>0</v>
      </c>
      <c r="W43" s="267">
        <f t="shared" si="7"/>
        <v>0</v>
      </c>
      <c r="X43" s="267">
        <f t="shared" si="7"/>
        <v>0</v>
      </c>
      <c r="Y43" s="267">
        <f>(Q43*1000000)*3.78541178</f>
        <v>0</v>
      </c>
      <c r="Z43" s="267">
        <f t="shared" si="1"/>
        <v>0</v>
      </c>
      <c r="AI43" s="197">
        <f t="shared" si="2"/>
        <v>0</v>
      </c>
      <c r="AR43" s="197">
        <f t="shared" si="3"/>
        <v>0</v>
      </c>
      <c r="BA43" s="197">
        <f t="shared" si="4"/>
        <v>0</v>
      </c>
      <c r="BJ43" s="197">
        <f t="shared" si="9"/>
        <v>0</v>
      </c>
      <c r="CB43" s="197">
        <f t="shared" si="5"/>
        <v>0</v>
      </c>
      <c r="CK43" s="197">
        <f t="shared" si="6"/>
        <v>0</v>
      </c>
      <c r="CT43" s="267">
        <f t="shared" si="8"/>
        <v>0</v>
      </c>
    </row>
    <row r="44" spans="19:98" ht="12.75">
      <c r="S44" s="267">
        <f t="shared" si="7"/>
        <v>0</v>
      </c>
      <c r="T44" s="267">
        <f t="shared" si="7"/>
        <v>0</v>
      </c>
      <c r="U44" s="267">
        <f t="shared" si="7"/>
        <v>0</v>
      </c>
      <c r="V44" s="267">
        <f t="shared" si="7"/>
        <v>0</v>
      </c>
      <c r="W44" s="267">
        <f t="shared" si="7"/>
        <v>0</v>
      </c>
      <c r="X44" s="267">
        <f t="shared" si="7"/>
        <v>0</v>
      </c>
      <c r="Y44" s="267">
        <f>(Q44*1000000)*3.78541178</f>
        <v>0</v>
      </c>
      <c r="Z44" s="267">
        <f t="shared" si="1"/>
        <v>0</v>
      </c>
      <c r="AI44" s="197">
        <f t="shared" si="2"/>
        <v>0</v>
      </c>
      <c r="AR44" s="197">
        <f t="shared" si="3"/>
        <v>0</v>
      </c>
      <c r="BA44" s="197">
        <f t="shared" si="4"/>
        <v>0</v>
      </c>
      <c r="BJ44" s="197">
        <f t="shared" si="9"/>
        <v>0</v>
      </c>
      <c r="CB44" s="197">
        <f t="shared" si="5"/>
        <v>0</v>
      </c>
      <c r="CK44" s="197">
        <f t="shared" si="6"/>
        <v>0</v>
      </c>
      <c r="CT44" s="267">
        <f t="shared" si="8"/>
        <v>0</v>
      </c>
    </row>
    <row r="45" spans="10:98" ht="12.75">
      <c r="J45" s="261">
        <f>39/12</f>
        <v>3.25</v>
      </c>
      <c r="K45" s="1"/>
      <c r="T45" s="267">
        <f aca="true" t="shared" si="10" ref="T45:Y45">(L45*1000000)*3.78541178*30.4</f>
        <v>0</v>
      </c>
      <c r="U45" s="267">
        <f t="shared" si="10"/>
        <v>0</v>
      </c>
      <c r="V45" s="267">
        <f t="shared" si="10"/>
        <v>0</v>
      </c>
      <c r="W45" s="267">
        <f t="shared" si="10"/>
        <v>0</v>
      </c>
      <c r="X45" s="267">
        <f t="shared" si="10"/>
        <v>0</v>
      </c>
      <c r="Y45" s="267">
        <f t="shared" si="10"/>
        <v>0</v>
      </c>
      <c r="AI45" s="197">
        <f t="shared" si="2"/>
        <v>0</v>
      </c>
      <c r="AR45" s="197">
        <f t="shared" si="3"/>
        <v>0</v>
      </c>
      <c r="BA45" s="197">
        <f t="shared" si="4"/>
        <v>0</v>
      </c>
      <c r="BJ45" s="197">
        <f t="shared" si="9"/>
        <v>0</v>
      </c>
      <c r="CB45" s="197">
        <f t="shared" si="5"/>
        <v>0</v>
      </c>
      <c r="CK45" s="197">
        <f t="shared" si="6"/>
        <v>0</v>
      </c>
      <c r="CT45" s="267">
        <f t="shared" si="8"/>
        <v>0</v>
      </c>
    </row>
    <row r="46" spans="19:97" ht="13.5" thickBot="1">
      <c r="S46" s="468" t="s">
        <v>351</v>
      </c>
      <c r="T46" s="468"/>
      <c r="U46" s="468"/>
      <c r="V46" s="468"/>
      <c r="W46" s="468"/>
      <c r="X46" s="468"/>
      <c r="Y46" s="468"/>
      <c r="Z46" s="66"/>
      <c r="AB46" s="468" t="s">
        <v>352</v>
      </c>
      <c r="AC46" s="468"/>
      <c r="AD46" s="468"/>
      <c r="AE46" s="468"/>
      <c r="AF46" s="468"/>
      <c r="AG46" s="468"/>
      <c r="AH46" s="468"/>
      <c r="AI46" s="468"/>
      <c r="AK46" s="468" t="s">
        <v>353</v>
      </c>
      <c r="AL46" s="468"/>
      <c r="AM46" s="468"/>
      <c r="AN46" s="468"/>
      <c r="AO46" s="468"/>
      <c r="AP46" s="468"/>
      <c r="AQ46" s="468"/>
      <c r="AR46" s="66"/>
      <c r="AT46" s="468" t="s">
        <v>354</v>
      </c>
      <c r="AU46" s="468"/>
      <c r="AV46" s="468"/>
      <c r="AW46" s="468"/>
      <c r="AX46" s="468"/>
      <c r="AY46" s="468"/>
      <c r="AZ46" s="468"/>
      <c r="BC46" s="468" t="s">
        <v>10</v>
      </c>
      <c r="BD46" s="468"/>
      <c r="BE46" s="468"/>
      <c r="BF46" s="468"/>
      <c r="BG46" s="468"/>
      <c r="BH46" s="468"/>
      <c r="BI46" s="468"/>
      <c r="BU46" s="468" t="s">
        <v>355</v>
      </c>
      <c r="BV46" s="468"/>
      <c r="BW46" s="468"/>
      <c r="BX46" s="468"/>
      <c r="BY46" s="468"/>
      <c r="BZ46" s="468"/>
      <c r="CA46" s="468"/>
      <c r="CD46" s="468" t="s">
        <v>7</v>
      </c>
      <c r="CE46" s="468"/>
      <c r="CF46" s="468"/>
      <c r="CG46" s="468"/>
      <c r="CH46" s="468"/>
      <c r="CI46" s="468"/>
      <c r="CJ46" s="468"/>
      <c r="CM46" s="468" t="s">
        <v>9</v>
      </c>
      <c r="CN46" s="468"/>
      <c r="CO46" s="468"/>
      <c r="CP46" s="468"/>
      <c r="CQ46" s="468"/>
      <c r="CR46" s="468"/>
      <c r="CS46" s="468"/>
    </row>
    <row r="47" spans="18:97" ht="12.75">
      <c r="R47" s="272"/>
      <c r="S47" s="273"/>
      <c r="T47" s="273"/>
      <c r="U47" s="273"/>
      <c r="V47" s="273"/>
      <c r="W47" s="273"/>
      <c r="X47" s="273"/>
      <c r="Y47" s="273"/>
      <c r="Z47" s="273"/>
      <c r="AC47" s="47" t="s">
        <v>356</v>
      </c>
      <c r="AD47" s="47" t="s">
        <v>357</v>
      </c>
      <c r="AE47" s="67" t="s">
        <v>304</v>
      </c>
      <c r="AF47" s="68"/>
      <c r="AG47" s="469"/>
      <c r="AH47" s="469"/>
      <c r="AK47" s="166"/>
      <c r="AL47" s="69" t="s">
        <v>356</v>
      </c>
      <c r="AM47" s="69" t="s">
        <v>357</v>
      </c>
      <c r="AN47" s="70" t="s">
        <v>358</v>
      </c>
      <c r="AO47" s="462"/>
      <c r="AP47" s="462"/>
      <c r="AQ47" s="166"/>
      <c r="AT47" s="166"/>
      <c r="AU47" s="69" t="s">
        <v>356</v>
      </c>
      <c r="AV47" s="69" t="s">
        <v>357</v>
      </c>
      <c r="AW47" s="70" t="s">
        <v>358</v>
      </c>
      <c r="AX47" s="462"/>
      <c r="AY47" s="462"/>
      <c r="AZ47" s="166"/>
      <c r="BC47" s="166"/>
      <c r="BD47" s="69" t="s">
        <v>356</v>
      </c>
      <c r="BE47" s="69" t="s">
        <v>357</v>
      </c>
      <c r="BF47" s="70" t="s">
        <v>358</v>
      </c>
      <c r="BG47" s="462"/>
      <c r="BH47" s="462"/>
      <c r="BU47" s="166"/>
      <c r="BV47" s="69" t="s">
        <v>356</v>
      </c>
      <c r="BW47" s="69" t="s">
        <v>357</v>
      </c>
      <c r="BX47" s="70" t="s">
        <v>358</v>
      </c>
      <c r="BY47" s="462"/>
      <c r="BZ47" s="462"/>
      <c r="CA47" s="166"/>
      <c r="CD47" s="166"/>
      <c r="CE47" s="69" t="s">
        <v>356</v>
      </c>
      <c r="CF47" s="69" t="s">
        <v>357</v>
      </c>
      <c r="CG47" s="70" t="s">
        <v>358</v>
      </c>
      <c r="CH47" s="462"/>
      <c r="CI47" s="462"/>
      <c r="CJ47" s="166"/>
      <c r="CM47" s="166"/>
      <c r="CN47" s="69" t="s">
        <v>356</v>
      </c>
      <c r="CO47" s="69" t="s">
        <v>357</v>
      </c>
      <c r="CP47" s="70" t="s">
        <v>358</v>
      </c>
      <c r="CQ47" s="462"/>
      <c r="CR47" s="462"/>
      <c r="CS47" s="166"/>
    </row>
    <row r="48" spans="18:97" ht="12.75">
      <c r="R48" s="274"/>
      <c r="S48" s="275"/>
      <c r="T48" s="275"/>
      <c r="U48" s="275"/>
      <c r="V48" s="275"/>
      <c r="W48" s="275"/>
      <c r="X48" s="275" t="s">
        <v>574</v>
      </c>
      <c r="Y48" s="166" t="s">
        <v>573</v>
      </c>
      <c r="Z48" s="275">
        <f>AVERAGE(Z5:Z8,Z10,Z13,Z15,Z17,Z19:Z20,Z22,Z24,Z26,Z29:Z30,Z32:Z34,Z42)</f>
        <v>16310024.427506946</v>
      </c>
      <c r="AB48" s="47" t="s">
        <v>359</v>
      </c>
      <c r="AC48" s="47">
        <f>SUMIF($I$5:$I$43,"jan",AI$5:AI$42)</f>
        <v>13734.428467274443</v>
      </c>
      <c r="AD48" s="47">
        <f>COUNTIF(I$5:I$43,"jan")</f>
        <v>3</v>
      </c>
      <c r="AE48" s="71">
        <f aca="true" t="shared" si="11" ref="AE48:AE59">AC48/AD48</f>
        <v>4578.142822424815</v>
      </c>
      <c r="AF48" s="72" t="s">
        <v>336</v>
      </c>
      <c r="AG48" s="469"/>
      <c r="AH48" s="469"/>
      <c r="AK48" s="166" t="s">
        <v>359</v>
      </c>
      <c r="AL48" s="276">
        <f>SUMIF($I$5:$I$43,"jan",AR$5:AR$43)</f>
        <v>266.22837388693085</v>
      </c>
      <c r="AM48" s="166">
        <f>COUNTIF($I$5:$I$43,"jan")</f>
        <v>3</v>
      </c>
      <c r="AN48" s="73">
        <f aca="true" t="shared" si="12" ref="AN48:AN59">AL48/AM48</f>
        <v>88.74279129564361</v>
      </c>
      <c r="AO48" s="463"/>
      <c r="AP48" s="463"/>
      <c r="AQ48" s="277"/>
      <c r="AT48" s="166" t="s">
        <v>359</v>
      </c>
      <c r="AU48" s="276">
        <f>SUMIF($I$5:$I$43,"jan",BA$5:BA$43)</f>
        <v>385490.1098861462</v>
      </c>
      <c r="AV48" s="166">
        <f>COUNTIF($I$5:$I$43,"jan")</f>
        <v>3</v>
      </c>
      <c r="AW48" s="73">
        <f aca="true" t="shared" si="13" ref="AW48:AW59">AU48/AV48</f>
        <v>128496.70329538207</v>
      </c>
      <c r="AX48" s="463"/>
      <c r="AY48" s="463"/>
      <c r="AZ48" s="277"/>
      <c r="BC48" s="166" t="s">
        <v>359</v>
      </c>
      <c r="BD48" s="276">
        <f>SUMIF($I$5:$I$43,"jan",BJ$5:BJ$43)</f>
        <v>-374314.2236766631</v>
      </c>
      <c r="BE48" s="166">
        <f>COUNTIF($I$5:$I$43,"jan")</f>
        <v>3</v>
      </c>
      <c r="BF48" s="73">
        <f aca="true" t="shared" si="14" ref="BF48:BF59">BD48/BE48</f>
        <v>-124771.40789222105</v>
      </c>
      <c r="BG48" s="463"/>
      <c r="BH48" s="463"/>
      <c r="BU48" s="166" t="s">
        <v>359</v>
      </c>
      <c r="BV48" s="276">
        <f>SUMIF($I$5:$I$43,"jan",CB$5:CB$43)</f>
        <v>10841349.68028659</v>
      </c>
      <c r="BW48" s="166">
        <f>COUNTIF($I$5:$I$43,"jan")</f>
        <v>3</v>
      </c>
      <c r="BX48" s="73">
        <f aca="true" t="shared" si="15" ref="BX48:BX59">BV48/BW48</f>
        <v>3613783.2267621965</v>
      </c>
      <c r="BY48" s="463"/>
      <c r="BZ48" s="463"/>
      <c r="CA48" s="277"/>
      <c r="CD48" s="166" t="s">
        <v>359</v>
      </c>
      <c r="CE48" s="276">
        <f>SUMIF($I$5:$I$43,"jan",CK$5:CK$43)</f>
        <v>640048.2288417848</v>
      </c>
      <c r="CF48" s="166">
        <f>COUNTIF($I$5:$I$43,"jan")</f>
        <v>3</v>
      </c>
      <c r="CG48" s="73">
        <f aca="true" t="shared" si="16" ref="CG48:CG59">CE48/CF48</f>
        <v>213349.40961392826</v>
      </c>
      <c r="CH48" s="463"/>
      <c r="CI48" s="463"/>
      <c r="CJ48" s="277"/>
      <c r="CM48" s="166" t="s">
        <v>359</v>
      </c>
      <c r="CN48" s="276">
        <f>SUMIF($I$5:$I$43,"jan",CT$5:CT$43)</f>
        <v>73.98039196384256</v>
      </c>
      <c r="CO48" s="166">
        <f>COUNTIF($I$5:$I$43,"jan")</f>
        <v>3</v>
      </c>
      <c r="CP48" s="73">
        <f aca="true" t="shared" si="17" ref="CP48:CP59">CN48/CO48</f>
        <v>24.66013065461419</v>
      </c>
      <c r="CQ48" s="463"/>
      <c r="CR48" s="463"/>
      <c r="CS48" s="277"/>
    </row>
    <row r="49" spans="18:97" ht="12.75">
      <c r="R49" s="274"/>
      <c r="S49" s="166"/>
      <c r="T49" s="166"/>
      <c r="U49" s="166"/>
      <c r="V49" s="166"/>
      <c r="W49" s="166"/>
      <c r="X49" s="166"/>
      <c r="Y49" s="166"/>
      <c r="Z49" s="166"/>
      <c r="AB49" s="47" t="s">
        <v>360</v>
      </c>
      <c r="AC49" s="47">
        <f>SUMIF(I$5:I$43,"feb",AI$5:AI$42)</f>
        <v>82744.11324657279</v>
      </c>
      <c r="AD49" s="47">
        <f>COUNTIF(I$5:I$43,"feb")</f>
        <v>4</v>
      </c>
      <c r="AE49" s="71">
        <f t="shared" si="11"/>
        <v>20686.028311643197</v>
      </c>
      <c r="AF49" s="72" t="s">
        <v>336</v>
      </c>
      <c r="AG49" s="469"/>
      <c r="AH49" s="469"/>
      <c r="AK49" s="166" t="s">
        <v>360</v>
      </c>
      <c r="AL49" s="276">
        <f>SUMIF($I$5:$I$43,"feb",AR$5:AR$43)</f>
        <v>790.6447253403071</v>
      </c>
      <c r="AM49" s="166">
        <f>COUNTIF($I$5:$I$43,"feb")</f>
        <v>4</v>
      </c>
      <c r="AN49" s="73">
        <f t="shared" si="12"/>
        <v>197.66118133507678</v>
      </c>
      <c r="AO49" s="463"/>
      <c r="AP49" s="463"/>
      <c r="AQ49" s="277"/>
      <c r="AT49" s="166" t="s">
        <v>360</v>
      </c>
      <c r="AU49" s="276">
        <f>SUMIF($I$5:$I$43,"feb",BA$5:BA$43)</f>
        <v>535497.0693823808</v>
      </c>
      <c r="AV49" s="166">
        <f>COUNTIF($I$5:$I$43,"feb")</f>
        <v>4</v>
      </c>
      <c r="AW49" s="73">
        <f t="shared" si="13"/>
        <v>133874.2673455952</v>
      </c>
      <c r="AX49" s="463"/>
      <c r="AY49" s="463"/>
      <c r="AZ49" s="277"/>
      <c r="BC49" s="166" t="s">
        <v>360</v>
      </c>
      <c r="BD49" s="276">
        <f>SUMIF($I$5:$I$43,"feb",BJ$5:BJ$43)</f>
        <v>-526475.0703623999</v>
      </c>
      <c r="BE49" s="166">
        <f>COUNTIF($I$5:$I$43,"feb")</f>
        <v>4</v>
      </c>
      <c r="BF49" s="73">
        <f t="shared" si="14"/>
        <v>-131618.76759059998</v>
      </c>
      <c r="BG49" s="463"/>
      <c r="BH49" s="463"/>
      <c r="BU49" s="166" t="s">
        <v>360</v>
      </c>
      <c r="BV49" s="276">
        <f>SUMIF($I$5:$I$43,"feb",CB$5:CB$43)</f>
        <v>16067950.101549579</v>
      </c>
      <c r="BW49" s="166">
        <f>COUNTIF($I$5:$I$43,"feb")</f>
        <v>4</v>
      </c>
      <c r="BX49" s="73">
        <f t="shared" si="15"/>
        <v>4016987.5253873947</v>
      </c>
      <c r="BY49" s="463"/>
      <c r="BZ49" s="463"/>
      <c r="CA49" s="277"/>
      <c r="CD49" s="166" t="s">
        <v>360</v>
      </c>
      <c r="CE49" s="276">
        <f>SUMIF($I$5:$I$43,"feb",CK$5:CK$43)</f>
        <v>1310054.0974906303</v>
      </c>
      <c r="CF49" s="166">
        <f>COUNTIF($I$5:$I$43,"feb")</f>
        <v>4</v>
      </c>
      <c r="CG49" s="73">
        <f t="shared" si="16"/>
        <v>327513.5243726576</v>
      </c>
      <c r="CH49" s="463"/>
      <c r="CI49" s="463"/>
      <c r="CJ49" s="277"/>
      <c r="CM49" s="166" t="s">
        <v>360</v>
      </c>
      <c r="CN49" s="276">
        <f>SUMIF($I$5:$I$43,"feb",CT$5:CT$43)</f>
        <v>55.927187802432</v>
      </c>
      <c r="CO49" s="166">
        <f>COUNTIF($I$5:$I$43,"feb")</f>
        <v>4</v>
      </c>
      <c r="CP49" s="73">
        <f t="shared" si="17"/>
        <v>13.981796950608</v>
      </c>
      <c r="CQ49" s="463"/>
      <c r="CR49" s="463"/>
      <c r="CS49" s="277"/>
    </row>
    <row r="50" spans="18:97" ht="12.75">
      <c r="R50" s="274"/>
      <c r="S50" s="166"/>
      <c r="T50" s="166" t="s">
        <v>585</v>
      </c>
      <c r="U50" s="166"/>
      <c r="V50" s="166"/>
      <c r="W50" s="166"/>
      <c r="X50" s="166" t="s">
        <v>575</v>
      </c>
      <c r="Y50" s="166" t="s">
        <v>576</v>
      </c>
      <c r="Z50" s="275">
        <f>Z48*365</f>
        <v>5953158916.040035</v>
      </c>
      <c r="AB50" s="47" t="s">
        <v>361</v>
      </c>
      <c r="AC50" s="47">
        <f>SUMIF(I$5:I$43,"mar",AI$5:AI$42)</f>
        <v>17984.100712284304</v>
      </c>
      <c r="AD50" s="47">
        <f>COUNTIF(I$5:I$43,"mar")</f>
        <v>4</v>
      </c>
      <c r="AE50" s="71">
        <f t="shared" si="11"/>
        <v>4496.025178071076</v>
      </c>
      <c r="AF50" s="72" t="s">
        <v>336</v>
      </c>
      <c r="AK50" s="166" t="s">
        <v>361</v>
      </c>
      <c r="AL50" s="276">
        <f>SUMIF($I$5:$I$43,"mar",AR$5:AR$43)</f>
        <v>345.2801880039692</v>
      </c>
      <c r="AM50" s="166">
        <f>COUNTIF($I$5:$I$43,"mar")</f>
        <v>4</v>
      </c>
      <c r="AN50" s="73">
        <f t="shared" si="12"/>
        <v>86.3200470009923</v>
      </c>
      <c r="AO50" s="463"/>
      <c r="AP50" s="463"/>
      <c r="AQ50" s="277"/>
      <c r="AT50" s="166" t="s">
        <v>361</v>
      </c>
      <c r="AU50" s="276">
        <f>SUMIF($I$5:$I$43,"mar",BA$5:BA$43)</f>
        <v>230212.8760134182</v>
      </c>
      <c r="AV50" s="166">
        <f>COUNTIF($I$5:$I$43,"mar")</f>
        <v>4</v>
      </c>
      <c r="AW50" s="73">
        <f t="shared" si="13"/>
        <v>57553.21900335455</v>
      </c>
      <c r="AX50" s="463"/>
      <c r="AY50" s="463"/>
      <c r="AZ50" s="277"/>
      <c r="BC50" s="166" t="s">
        <v>361</v>
      </c>
      <c r="BD50" s="276">
        <f>SUMIF($I$5:$I$43,"mar",BJ$5:BJ$43)</f>
        <v>-230899.19236743817</v>
      </c>
      <c r="BE50" s="166">
        <f>COUNTIF($I$5:$I$43,"mar")</f>
        <v>4</v>
      </c>
      <c r="BF50" s="73">
        <f t="shared" si="14"/>
        <v>-57724.79809185954</v>
      </c>
      <c r="BG50" s="463"/>
      <c r="BH50" s="463"/>
      <c r="BU50" s="166" t="s">
        <v>361</v>
      </c>
      <c r="BV50" s="276">
        <f>SUMIF($I$5:$I$43,"mar",CB$5:CB$43)</f>
        <v>6952269.589704163</v>
      </c>
      <c r="BW50" s="166">
        <f>COUNTIF($I$5:$I$43,"mar")</f>
        <v>4</v>
      </c>
      <c r="BX50" s="73">
        <f t="shared" si="15"/>
        <v>1738067.3974260408</v>
      </c>
      <c r="BY50" s="463"/>
      <c r="BZ50" s="463"/>
      <c r="CA50" s="277"/>
      <c r="CD50" s="166" t="s">
        <v>361</v>
      </c>
      <c r="CE50" s="276">
        <f>SUMIF($I$5:$I$43,"mar",CK$5:CK$43)</f>
        <v>688866.4496613299</v>
      </c>
      <c r="CF50" s="166">
        <f>COUNTIF($I$5:$I$43,"mar")</f>
        <v>4</v>
      </c>
      <c r="CG50" s="73">
        <f t="shared" si="16"/>
        <v>172216.61241533246</v>
      </c>
      <c r="CH50" s="463"/>
      <c r="CI50" s="463"/>
      <c r="CJ50" s="277"/>
      <c r="CM50" s="166" t="s">
        <v>361</v>
      </c>
      <c r="CN50" s="276">
        <f>SUMIF($I$5:$I$43,"mar",CT$5:CT$43)</f>
        <v>24.116585900731838</v>
      </c>
      <c r="CO50" s="166">
        <f>COUNTIF($I$5:$I$43,"mar")</f>
        <v>4</v>
      </c>
      <c r="CP50" s="73">
        <f t="shared" si="17"/>
        <v>6.0291464751829595</v>
      </c>
      <c r="CQ50" s="463"/>
      <c r="CR50" s="463"/>
      <c r="CS50" s="277"/>
    </row>
    <row r="51" spans="18:97" ht="13.5" thickBot="1">
      <c r="R51" s="274"/>
      <c r="S51" s="278"/>
      <c r="T51" s="278"/>
      <c r="U51" s="278"/>
      <c r="V51" s="278"/>
      <c r="W51" s="278"/>
      <c r="X51" s="278" t="s">
        <v>509</v>
      </c>
      <c r="Y51" s="278" t="s">
        <v>577</v>
      </c>
      <c r="Z51" s="279">
        <f>Z50/'Mine Prod'!B8/907.18474</f>
        <v>0.9923707845227897</v>
      </c>
      <c r="AB51" s="47" t="s">
        <v>362</v>
      </c>
      <c r="AC51" s="47">
        <f>SUMIF(I$5:I$43,"apr",AI$5:AI$42)</f>
        <v>14174.527103141976</v>
      </c>
      <c r="AD51" s="47">
        <f>COUNTIF(I$5:I$43,"apr")</f>
        <v>4</v>
      </c>
      <c r="AE51" s="71">
        <f t="shared" si="11"/>
        <v>3543.631775785494</v>
      </c>
      <c r="AF51" s="72" t="s">
        <v>336</v>
      </c>
      <c r="AK51" s="166" t="s">
        <v>362</v>
      </c>
      <c r="AL51" s="276">
        <f>SUMIF($I$5:$I$43,"apr",AR$5:AR$43)</f>
        <v>171.59059615680317</v>
      </c>
      <c r="AM51" s="166">
        <f>COUNTIF($I$5:$I$43,"apr")</f>
        <v>4</v>
      </c>
      <c r="AN51" s="73">
        <f t="shared" si="12"/>
        <v>42.89764903920079</v>
      </c>
      <c r="AO51" s="463"/>
      <c r="AP51" s="463"/>
      <c r="AQ51" s="277"/>
      <c r="AT51" s="166" t="s">
        <v>362</v>
      </c>
      <c r="AU51" s="276">
        <f>SUMIF($I$5:$I$43,"apr",BA$5:BA$43)</f>
        <v>82717.00121890561</v>
      </c>
      <c r="AV51" s="166">
        <f>COUNTIF($I$5:$I$43,"apr")</f>
        <v>4</v>
      </c>
      <c r="AW51" s="73">
        <f t="shared" si="13"/>
        <v>20679.250304726404</v>
      </c>
      <c r="AX51" s="463"/>
      <c r="AY51" s="463"/>
      <c r="AZ51" s="277"/>
      <c r="BC51" s="166" t="s">
        <v>362</v>
      </c>
      <c r="BD51" s="276">
        <f>SUMIF($I$5:$I$43,"apr",BJ$5:BJ$43)</f>
        <v>-77485.62270553409</v>
      </c>
      <c r="BE51" s="166">
        <f>COUNTIF($I$5:$I$43,"apr")</f>
        <v>4</v>
      </c>
      <c r="BF51" s="73">
        <f t="shared" si="14"/>
        <v>-19371.40567638352</v>
      </c>
      <c r="BG51" s="463"/>
      <c r="BH51" s="463"/>
      <c r="BU51" s="166" t="s">
        <v>362</v>
      </c>
      <c r="BV51" s="276">
        <f>SUMIF($I$5:$I$43,"apr",CB$5:CB$43)</f>
        <v>249642.3953314483</v>
      </c>
      <c r="BW51" s="166">
        <f>COUNTIF($I$5:$I$43,"apr")</f>
        <v>4</v>
      </c>
      <c r="BX51" s="73">
        <f t="shared" si="15"/>
        <v>62410.59883286207</v>
      </c>
      <c r="BY51" s="463"/>
      <c r="BZ51" s="463"/>
      <c r="CA51" s="277"/>
      <c r="CD51" s="166" t="s">
        <v>362</v>
      </c>
      <c r="CE51" s="276">
        <f>SUMIF($I$5:$I$43,"apr",CK$5:CK$43)</f>
        <v>149266.9024082563</v>
      </c>
      <c r="CF51" s="166">
        <f>COUNTIF($I$5:$I$43,"apr")</f>
        <v>4</v>
      </c>
      <c r="CG51" s="73">
        <f t="shared" si="16"/>
        <v>37316.72560206408</v>
      </c>
      <c r="CH51" s="463"/>
      <c r="CI51" s="463"/>
      <c r="CJ51" s="277"/>
      <c r="CM51" s="166" t="s">
        <v>362</v>
      </c>
      <c r="CN51" s="276">
        <f>SUMIF($I$5:$I$43,"apr",CT$5:CT$43)</f>
        <v>1666.768288334208</v>
      </c>
      <c r="CO51" s="166">
        <f>COUNTIF($I$5:$I$43,"apr")</f>
        <v>4</v>
      </c>
      <c r="CP51" s="73">
        <f t="shared" si="17"/>
        <v>416.692072083552</v>
      </c>
      <c r="CQ51" s="463"/>
      <c r="CR51" s="463"/>
      <c r="CS51" s="277"/>
    </row>
    <row r="52" spans="18:97" ht="12.75">
      <c r="R52" s="274"/>
      <c r="S52" s="166"/>
      <c r="T52" s="166"/>
      <c r="U52" s="166"/>
      <c r="V52" s="166"/>
      <c r="W52" s="166"/>
      <c r="X52" s="166"/>
      <c r="Y52" s="166"/>
      <c r="Z52" s="166"/>
      <c r="AB52" s="47" t="s">
        <v>363</v>
      </c>
      <c r="AC52" s="47">
        <f>SUMIF(I$5:I$43,"may",AI$5:AI$42)</f>
        <v>21.9681073075808</v>
      </c>
      <c r="AD52" s="47">
        <f>COUNTIF(I$5:I$43,"may")</f>
        <v>3</v>
      </c>
      <c r="AE52" s="71">
        <f t="shared" si="11"/>
        <v>7.3227024358602675</v>
      </c>
      <c r="AF52" s="72"/>
      <c r="AK52" s="166" t="s">
        <v>363</v>
      </c>
      <c r="AL52" s="276">
        <f>SUMIF($I$5:$I$43,"amy",AR$5:AR$43)</f>
        <v>0</v>
      </c>
      <c r="AM52" s="166">
        <f>COUNTIF($I$5:$I$43,"may")</f>
        <v>3</v>
      </c>
      <c r="AN52" s="73">
        <f t="shared" si="12"/>
        <v>0</v>
      </c>
      <c r="AO52" s="463"/>
      <c r="AP52" s="462"/>
      <c r="AQ52" s="166"/>
      <c r="AT52" s="166" t="s">
        <v>363</v>
      </c>
      <c r="AU52" s="276">
        <f>SUMIF($I$5:$I$43,"amy",BA$5:BA$43)</f>
        <v>0</v>
      </c>
      <c r="AV52" s="166">
        <f>COUNTIF($I$5:$I$43,"may")</f>
        <v>3</v>
      </c>
      <c r="AW52" s="73">
        <f t="shared" si="13"/>
        <v>0</v>
      </c>
      <c r="AX52" s="463"/>
      <c r="AY52" s="462"/>
      <c r="AZ52" s="166"/>
      <c r="BC52" s="166" t="s">
        <v>363</v>
      </c>
      <c r="BD52" s="276">
        <f>SUMIF($I$5:$I$43,"amy",BJ$5:BJ$43)</f>
        <v>0</v>
      </c>
      <c r="BE52" s="166">
        <f>COUNTIF($I$5:$I$43,"may")</f>
        <v>3</v>
      </c>
      <c r="BF52" s="73">
        <f t="shared" si="14"/>
        <v>0</v>
      </c>
      <c r="BG52" s="463"/>
      <c r="BH52" s="462"/>
      <c r="BU52" s="166" t="s">
        <v>363</v>
      </c>
      <c r="BV52" s="276">
        <f>SUMIF($I$5:$I$43,"amy",CB$5:CB$43)</f>
        <v>0</v>
      </c>
      <c r="BW52" s="166">
        <f>COUNTIF($I$5:$I$43,"may")</f>
        <v>3</v>
      </c>
      <c r="BX52" s="73">
        <f t="shared" si="15"/>
        <v>0</v>
      </c>
      <c r="BY52" s="463"/>
      <c r="BZ52" s="462"/>
      <c r="CA52" s="166"/>
      <c r="CD52" s="166" t="s">
        <v>363</v>
      </c>
      <c r="CE52" s="276">
        <f>SUMIF($I$5:$I$43,"amy",CK$5:CK$43)</f>
        <v>0</v>
      </c>
      <c r="CF52" s="166">
        <f>COUNTIF($I$5:$I$43,"may")</f>
        <v>3</v>
      </c>
      <c r="CG52" s="73">
        <f t="shared" si="16"/>
        <v>0</v>
      </c>
      <c r="CH52" s="463"/>
      <c r="CI52" s="462"/>
      <c r="CJ52" s="166"/>
      <c r="CM52" s="166" t="s">
        <v>363</v>
      </c>
      <c r="CN52" s="276">
        <f>SUMIF($I$5:$I$43,"amy",CT$5:CT$43)</f>
        <v>0</v>
      </c>
      <c r="CO52" s="166">
        <f>COUNTIF($I$5:$I$43,"may")</f>
        <v>3</v>
      </c>
      <c r="CP52" s="73">
        <f t="shared" si="17"/>
        <v>0</v>
      </c>
      <c r="CQ52" s="463"/>
      <c r="CR52" s="462"/>
      <c r="CS52" s="166"/>
    </row>
    <row r="53" spans="18:97" ht="12.75">
      <c r="R53" s="274"/>
      <c r="S53" s="166"/>
      <c r="T53" s="166"/>
      <c r="U53" s="166"/>
      <c r="V53" s="280"/>
      <c r="W53" s="166"/>
      <c r="X53" s="166"/>
      <c r="Y53" s="166"/>
      <c r="Z53" s="166"/>
      <c r="AB53" s="47" t="s">
        <v>364</v>
      </c>
      <c r="AC53" s="268">
        <f>SUMIF(I$5:I$43,"jun",AI$5:AI$42)</f>
        <v>0.6444285014272</v>
      </c>
      <c r="AD53" s="47">
        <f>COUNTIF(I$5:I$43,"jun")</f>
        <v>3</v>
      </c>
      <c r="AE53" s="71">
        <f t="shared" si="11"/>
        <v>0.21480950047573333</v>
      </c>
      <c r="AF53" s="72" t="s">
        <v>336</v>
      </c>
      <c r="AK53" s="166" t="s">
        <v>364</v>
      </c>
      <c r="AL53" s="276">
        <f>SUMIF($I$5:$I$43,"jun",AR$5:AR$43)</f>
        <v>0.006444285014272</v>
      </c>
      <c r="AM53" s="166">
        <f>COUNTIF($I$5:$I$43,"jun")</f>
        <v>3</v>
      </c>
      <c r="AN53" s="73">
        <f t="shared" si="12"/>
        <v>0.0021480950047573335</v>
      </c>
      <c r="AO53" s="463"/>
      <c r="AP53" s="463"/>
      <c r="AQ53" s="277"/>
      <c r="AT53" s="166" t="s">
        <v>364</v>
      </c>
      <c r="AU53" s="276">
        <f>SUMIF($I$5:$I$43,"jun",BA$5:BA$43)</f>
        <v>2.9459588636672</v>
      </c>
      <c r="AV53" s="166">
        <f>COUNTIF($I$5:$I$43,"jun")</f>
        <v>3</v>
      </c>
      <c r="AW53" s="73">
        <f t="shared" si="13"/>
        <v>0.9819862878890667</v>
      </c>
      <c r="AX53" s="463"/>
      <c r="AY53" s="463"/>
      <c r="AZ53" s="277"/>
      <c r="BC53" s="166" t="s">
        <v>364</v>
      </c>
      <c r="BD53" s="276">
        <f>SUMIF($I$5:$I$43,"jun",BJ$5:BJ$43)</f>
        <v>-2.761836434688</v>
      </c>
      <c r="BE53" s="166">
        <f>COUNTIF($I$5:$I$43,"jun")</f>
        <v>3</v>
      </c>
      <c r="BF53" s="73">
        <f t="shared" si="14"/>
        <v>-0.920612144896</v>
      </c>
      <c r="BG53" s="463"/>
      <c r="BH53" s="463"/>
      <c r="BU53" s="166" t="s">
        <v>364</v>
      </c>
      <c r="BV53" s="276">
        <f>SUMIF($I$5:$I$43,"jun",CB$5:CB$43)</f>
        <v>2.5086680948416</v>
      </c>
      <c r="BW53" s="166">
        <f>COUNTIF($I$5:$I$43,"jun")</f>
        <v>3</v>
      </c>
      <c r="BX53" s="73">
        <f t="shared" si="15"/>
        <v>0.8362226982805333</v>
      </c>
      <c r="BY53" s="463"/>
      <c r="BZ53" s="463"/>
      <c r="CA53" s="277"/>
      <c r="CD53" s="166" t="s">
        <v>364</v>
      </c>
      <c r="CE53" s="276">
        <f>SUMIF($I$5:$I$43,"jun",CK$5:CK$43)</f>
        <v>2.9689741672895997</v>
      </c>
      <c r="CF53" s="166">
        <f>COUNTIF($I$5:$I$43,"jun")</f>
        <v>3</v>
      </c>
      <c r="CG53" s="73">
        <f t="shared" si="16"/>
        <v>0.9896580557631999</v>
      </c>
      <c r="CH53" s="463"/>
      <c r="CI53" s="463"/>
      <c r="CJ53" s="277"/>
      <c r="CM53" s="166" t="s">
        <v>364</v>
      </c>
      <c r="CN53" s="276">
        <f>SUMIF($I$5:$I$43,"jun",CT$5:CT$43)</f>
        <v>0</v>
      </c>
      <c r="CO53" s="166">
        <f>COUNTIF($I$5:$I$43,"jun")</f>
        <v>3</v>
      </c>
      <c r="CP53" s="73">
        <f t="shared" si="17"/>
        <v>0</v>
      </c>
      <c r="CQ53" s="463"/>
      <c r="CR53" s="463"/>
      <c r="CS53" s="277"/>
    </row>
    <row r="54" spans="18:97" ht="12.75">
      <c r="R54" s="274"/>
      <c r="S54" s="166"/>
      <c r="T54" s="166"/>
      <c r="U54" s="166"/>
      <c r="V54" s="166"/>
      <c r="W54" s="166"/>
      <c r="X54" s="166"/>
      <c r="Y54" s="166"/>
      <c r="Z54" s="166"/>
      <c r="AB54" s="47" t="s">
        <v>365</v>
      </c>
      <c r="AC54" s="47">
        <f>SUMIF(I$5:I$43,"jul",AI$5:AI$42)</f>
        <v>0</v>
      </c>
      <c r="AD54" s="47">
        <f>COUNTIF(I$5:I$43,"jul")</f>
        <v>3</v>
      </c>
      <c r="AE54" s="71">
        <f t="shared" si="11"/>
        <v>0</v>
      </c>
      <c r="AF54" s="72"/>
      <c r="AK54" s="166" t="s">
        <v>365</v>
      </c>
      <c r="AL54" s="276">
        <f>SUMIF($I$5:$I$43,"jul",AR$5:AR$43)</f>
        <v>0</v>
      </c>
      <c r="AM54" s="166">
        <f>COUNTIF($I$5:$I$43,"jul")</f>
        <v>3</v>
      </c>
      <c r="AN54" s="73">
        <f t="shared" si="12"/>
        <v>0</v>
      </c>
      <c r="AO54" s="463"/>
      <c r="AP54" s="462"/>
      <c r="AQ54" s="166"/>
      <c r="AT54" s="166" t="s">
        <v>365</v>
      </c>
      <c r="AU54" s="276">
        <f>SUMIF($I$5:$I$43,"jul",BA$5:BA$43)</f>
        <v>0</v>
      </c>
      <c r="AV54" s="166">
        <f>COUNTIF($I$5:$I$43,"jul")</f>
        <v>3</v>
      </c>
      <c r="AW54" s="73">
        <f t="shared" si="13"/>
        <v>0</v>
      </c>
      <c r="AX54" s="463"/>
      <c r="AY54" s="462"/>
      <c r="AZ54" s="166"/>
      <c r="BC54" s="166" t="s">
        <v>365</v>
      </c>
      <c r="BD54" s="276">
        <f>SUMIF($I$5:$I$43,"jul",BJ$5:BJ$43)</f>
        <v>0</v>
      </c>
      <c r="BE54" s="166">
        <f>COUNTIF($I$5:$I$43,"jul")</f>
        <v>3</v>
      </c>
      <c r="BF54" s="73">
        <f t="shared" si="14"/>
        <v>0</v>
      </c>
      <c r="BG54" s="463"/>
      <c r="BH54" s="462"/>
      <c r="BU54" s="166" t="s">
        <v>365</v>
      </c>
      <c r="BV54" s="276">
        <f>SUMIF($I$5:$I$43,"jul",CB$5:CB$43)</f>
        <v>0</v>
      </c>
      <c r="BW54" s="166">
        <f>COUNTIF($I$5:$I$43,"jul")</f>
        <v>3</v>
      </c>
      <c r="BX54" s="73">
        <f t="shared" si="15"/>
        <v>0</v>
      </c>
      <c r="BY54" s="463"/>
      <c r="BZ54" s="462"/>
      <c r="CA54" s="166"/>
      <c r="CD54" s="166" t="s">
        <v>365</v>
      </c>
      <c r="CE54" s="276">
        <f>SUMIF($I$5:$I$43,"jul",CK$5:CK$43)</f>
        <v>0</v>
      </c>
      <c r="CF54" s="166">
        <f>COUNTIF($I$5:$I$43,"jul")</f>
        <v>3</v>
      </c>
      <c r="CG54" s="73">
        <f t="shared" si="16"/>
        <v>0</v>
      </c>
      <c r="CH54" s="463"/>
      <c r="CI54" s="462"/>
      <c r="CJ54" s="166"/>
      <c r="CM54" s="166" t="s">
        <v>365</v>
      </c>
      <c r="CN54" s="276">
        <f>SUMIF($I$5:$I$43,"jul",CT$5:CT$43)</f>
        <v>0</v>
      </c>
      <c r="CO54" s="166">
        <f>COUNTIF($I$5:$I$43,"jul")</f>
        <v>3</v>
      </c>
      <c r="CP54" s="73">
        <f t="shared" si="17"/>
        <v>0</v>
      </c>
      <c r="CQ54" s="463"/>
      <c r="CR54" s="462"/>
      <c r="CS54" s="166"/>
    </row>
    <row r="55" spans="18:97" ht="12.75">
      <c r="R55" s="274"/>
      <c r="S55" s="166"/>
      <c r="T55" s="166"/>
      <c r="U55" s="166"/>
      <c r="V55" s="166"/>
      <c r="W55" s="166"/>
      <c r="X55" s="166"/>
      <c r="Y55" s="166"/>
      <c r="Z55" s="166"/>
      <c r="AB55" s="47" t="s">
        <v>366</v>
      </c>
      <c r="AC55" s="47">
        <f>SUMIF(I$5:I$43,"aug",AI$5:AI$42)</f>
        <v>0</v>
      </c>
      <c r="AD55" s="47">
        <f>COUNTIF(I$5:I$43,"aug")</f>
        <v>3</v>
      </c>
      <c r="AE55" s="71">
        <f t="shared" si="11"/>
        <v>0</v>
      </c>
      <c r="AF55" s="72"/>
      <c r="AK55" s="166" t="s">
        <v>366</v>
      </c>
      <c r="AL55" s="276">
        <f>SUMIF($I$5:$I$43,"janaug",AR$5:AR$43)</f>
        <v>0</v>
      </c>
      <c r="AM55" s="166">
        <f>COUNTIF($I$5:$I$43,"aug")</f>
        <v>3</v>
      </c>
      <c r="AN55" s="73">
        <f t="shared" si="12"/>
        <v>0</v>
      </c>
      <c r="AO55" s="463"/>
      <c r="AP55" s="462"/>
      <c r="AQ55" s="166"/>
      <c r="AT55" s="166" t="s">
        <v>366</v>
      </c>
      <c r="AU55" s="276">
        <f>SUMIF($I$5:$I$43,"janaug",BA$5:BA$43)</f>
        <v>0</v>
      </c>
      <c r="AV55" s="166">
        <f>COUNTIF($I$5:$I$43,"aug")</f>
        <v>3</v>
      </c>
      <c r="AW55" s="73">
        <f t="shared" si="13"/>
        <v>0</v>
      </c>
      <c r="AX55" s="463"/>
      <c r="AY55" s="462"/>
      <c r="AZ55" s="166"/>
      <c r="BC55" s="166" t="s">
        <v>366</v>
      </c>
      <c r="BD55" s="276">
        <f>SUMIF($I$5:$I$43,"janaug",BJ$5:BJ$43)</f>
        <v>0</v>
      </c>
      <c r="BE55" s="166">
        <f>COUNTIF($I$5:$I$43,"aug")</f>
        <v>3</v>
      </c>
      <c r="BF55" s="73">
        <f t="shared" si="14"/>
        <v>0</v>
      </c>
      <c r="BG55" s="463"/>
      <c r="BH55" s="462"/>
      <c r="BU55" s="166" t="s">
        <v>366</v>
      </c>
      <c r="BV55" s="276">
        <f>SUMIF($I$5:$I$43,"janaug",CB$5:CB$43)</f>
        <v>0</v>
      </c>
      <c r="BW55" s="166">
        <f>COUNTIF($I$5:$I$43,"aug")</f>
        <v>3</v>
      </c>
      <c r="BX55" s="73">
        <f t="shared" si="15"/>
        <v>0</v>
      </c>
      <c r="BY55" s="463"/>
      <c r="BZ55" s="462"/>
      <c r="CA55" s="166"/>
      <c r="CD55" s="166" t="s">
        <v>366</v>
      </c>
      <c r="CE55" s="276">
        <f>SUMIF($I$5:$I$43,"janaug",CK$5:CK$43)</f>
        <v>0</v>
      </c>
      <c r="CF55" s="166">
        <f>COUNTIF($I$5:$I$43,"aug")</f>
        <v>3</v>
      </c>
      <c r="CG55" s="73">
        <f t="shared" si="16"/>
        <v>0</v>
      </c>
      <c r="CH55" s="463"/>
      <c r="CI55" s="462"/>
      <c r="CJ55" s="166"/>
      <c r="CM55" s="166" t="s">
        <v>366</v>
      </c>
      <c r="CN55" s="276">
        <f>SUMIF($I$5:$I$43,"janaug",CT$5:CT$43)</f>
        <v>0</v>
      </c>
      <c r="CO55" s="166">
        <f>COUNTIF($I$5:$I$43,"aug")</f>
        <v>3</v>
      </c>
      <c r="CP55" s="73">
        <f t="shared" si="17"/>
        <v>0</v>
      </c>
      <c r="CQ55" s="463"/>
      <c r="CR55" s="462"/>
      <c r="CS55" s="166"/>
    </row>
    <row r="56" spans="18:97" ht="12.75">
      <c r="R56" s="274"/>
      <c r="S56" s="47"/>
      <c r="T56" s="47"/>
      <c r="U56" s="47"/>
      <c r="V56" s="47"/>
      <c r="W56" s="47"/>
      <c r="X56" s="47"/>
      <c r="Y56" s="47"/>
      <c r="Z56" s="47"/>
      <c r="AB56" s="47" t="s">
        <v>367</v>
      </c>
      <c r="AC56" s="47">
        <f>SUMIF(I$5:I$43,"sep",AI$5:AI$42)</f>
        <v>5028.302981859274</v>
      </c>
      <c r="AD56" s="47">
        <f>COUNTIF(I$5:I$43,"sep")</f>
        <v>3</v>
      </c>
      <c r="AE56" s="71">
        <f t="shared" si="11"/>
        <v>1676.1009939530913</v>
      </c>
      <c r="AF56" s="72" t="s">
        <v>336</v>
      </c>
      <c r="AK56" s="166" t="s">
        <v>367</v>
      </c>
      <c r="AL56" s="276">
        <f>SUMIF($I$5:$I$43,"sep",AR$5:AR$43)</f>
        <v>41.6231766011104</v>
      </c>
      <c r="AM56" s="166">
        <f>COUNTIF($I$5:$I$43,"sep")</f>
        <v>3</v>
      </c>
      <c r="AN56" s="73">
        <f t="shared" si="12"/>
        <v>13.874392200370133</v>
      </c>
      <c r="AO56" s="463"/>
      <c r="AP56" s="463"/>
      <c r="AQ56" s="277"/>
      <c r="AT56" s="166" t="s">
        <v>367</v>
      </c>
      <c r="AU56" s="276">
        <f>SUMIF($I$5:$I$43,"sep",BA$5:BA$43)</f>
        <v>68366.9594103392</v>
      </c>
      <c r="AV56" s="166">
        <f>COUNTIF($I$5:$I$43,"sep")</f>
        <v>3</v>
      </c>
      <c r="AW56" s="73">
        <f t="shared" si="13"/>
        <v>22788.98647011307</v>
      </c>
      <c r="AX56" s="463"/>
      <c r="AY56" s="463"/>
      <c r="AZ56" s="277"/>
      <c r="BC56" s="166" t="s">
        <v>367</v>
      </c>
      <c r="BD56" s="276">
        <f>SUMIF($I$5:$I$43,"sep",BJ$5:BJ$43)</f>
        <v>-64258.727713740795</v>
      </c>
      <c r="BE56" s="166">
        <f>COUNTIF($I$5:$I$43,"sep")</f>
        <v>3</v>
      </c>
      <c r="BF56" s="73">
        <f t="shared" si="14"/>
        <v>-21419.575904580266</v>
      </c>
      <c r="BG56" s="463"/>
      <c r="BH56" s="463"/>
      <c r="BU56" s="166" t="s">
        <v>367</v>
      </c>
      <c r="BV56" s="276">
        <f>SUMIF($I$5:$I$43,"sep",CB$5:CB$43)</f>
        <v>3928689.313040057</v>
      </c>
      <c r="BW56" s="166">
        <f>COUNTIF($I$5:$I$43,"sep")</f>
        <v>3</v>
      </c>
      <c r="BX56" s="73">
        <f t="shared" si="15"/>
        <v>1309563.1043466858</v>
      </c>
      <c r="BY56" s="463"/>
      <c r="BZ56" s="463"/>
      <c r="CA56" s="277"/>
      <c r="CD56" s="166" t="s">
        <v>367</v>
      </c>
      <c r="CE56" s="276">
        <f>SUMIF($I$5:$I$43,"sep",CK$5:CK$43)</f>
        <v>235882.12067820592</v>
      </c>
      <c r="CF56" s="166">
        <f>COUNTIF($I$5:$I$43,"sep")</f>
        <v>3</v>
      </c>
      <c r="CG56" s="73">
        <f t="shared" si="16"/>
        <v>78627.37355940197</v>
      </c>
      <c r="CH56" s="463"/>
      <c r="CI56" s="463"/>
      <c r="CJ56" s="277"/>
      <c r="CM56" s="166" t="s">
        <v>367</v>
      </c>
      <c r="CN56" s="276">
        <f>SUMIF($I$5:$I$43,"sep",CT$5:CT$43)</f>
        <v>25.5297255431472</v>
      </c>
      <c r="CO56" s="166">
        <f>COUNTIF($I$5:$I$43,"sep")</f>
        <v>3</v>
      </c>
      <c r="CP56" s="73">
        <f t="shared" si="17"/>
        <v>8.509908514382401</v>
      </c>
      <c r="CQ56" s="463"/>
      <c r="CR56" s="463"/>
      <c r="CS56" s="277"/>
    </row>
    <row r="57" spans="18:97" ht="12.75">
      <c r="R57" s="274"/>
      <c r="S57" s="47"/>
      <c r="T57" s="47"/>
      <c r="U57" s="47"/>
      <c r="V57" s="47"/>
      <c r="W57" s="47"/>
      <c r="X57" s="47"/>
      <c r="Y57" s="47"/>
      <c r="Z57" s="47"/>
      <c r="AB57" s="47" t="s">
        <v>368</v>
      </c>
      <c r="AC57" s="47">
        <f>SUMIF(I$5:I$43,"oct",AI$5:AI$42)</f>
        <v>21.174079332608</v>
      </c>
      <c r="AD57" s="47">
        <f>COUNTIF(I$5:I$43,"oct")</f>
        <v>3</v>
      </c>
      <c r="AE57" s="71">
        <f t="shared" si="11"/>
        <v>7.058026444202667</v>
      </c>
      <c r="AF57" s="72" t="s">
        <v>336</v>
      </c>
      <c r="AK57" s="166" t="s">
        <v>368</v>
      </c>
      <c r="AL57" s="276">
        <f>SUMIF($I$5:$I$43,"oct",AR$5:AR$43)</f>
        <v>0.17031324680576</v>
      </c>
      <c r="AM57" s="166">
        <f>COUNTIF($I$5:$I$43,"oct")</f>
        <v>3</v>
      </c>
      <c r="AN57" s="73">
        <f t="shared" si="12"/>
        <v>0.05677108226858666</v>
      </c>
      <c r="AO57" s="463"/>
      <c r="AP57" s="463"/>
      <c r="AQ57" s="277"/>
      <c r="AT57" s="166" t="s">
        <v>368</v>
      </c>
      <c r="AU57" s="276">
        <f>SUMIF($I$5:$I$43,"oct",BA$5:BA$43)</f>
        <v>75.49019588147199</v>
      </c>
      <c r="AV57" s="166">
        <f>COUNTIF($I$5:$I$43,"oct")</f>
        <v>3</v>
      </c>
      <c r="AW57" s="73">
        <f t="shared" si="13"/>
        <v>25.16339862715733</v>
      </c>
      <c r="AX57" s="463"/>
      <c r="AY57" s="463"/>
      <c r="AZ57" s="277"/>
      <c r="BC57" s="166" t="s">
        <v>368</v>
      </c>
      <c r="BD57" s="276">
        <f>SUMIF($I$5:$I$43,"oct",BJ$5:BJ$43)</f>
        <v>-69.04591086719999</v>
      </c>
      <c r="BE57" s="166">
        <f>COUNTIF($I$5:$I$43,"oct")</f>
        <v>3</v>
      </c>
      <c r="BF57" s="73">
        <f t="shared" si="14"/>
        <v>-23.015303622399998</v>
      </c>
      <c r="BG57" s="463"/>
      <c r="BH57" s="463"/>
      <c r="BU57" s="166" t="s">
        <v>368</v>
      </c>
      <c r="BV57" s="276">
        <f>SUMIF($I$5:$I$43,"oct",CB$5:CB$43)</f>
        <v>92.98182663449602</v>
      </c>
      <c r="BW57" s="166">
        <f>COUNTIF($I$5:$I$43,"oct")</f>
        <v>3</v>
      </c>
      <c r="BX57" s="73">
        <f t="shared" si="15"/>
        <v>30.993942211498673</v>
      </c>
      <c r="BY57" s="463"/>
      <c r="BZ57" s="463"/>
      <c r="CA57" s="277"/>
      <c r="CD57" s="166" t="s">
        <v>368</v>
      </c>
      <c r="CE57" s="276">
        <f>SUMIF($I$5:$I$43,"oct",CK$5:CK$43)</f>
        <v>103.5688663008</v>
      </c>
      <c r="CF57" s="166">
        <f>COUNTIF($I$5:$I$43,"oct")</f>
        <v>3</v>
      </c>
      <c r="CG57" s="73">
        <f t="shared" si="16"/>
        <v>34.522955433599996</v>
      </c>
      <c r="CH57" s="463"/>
      <c r="CI57" s="463"/>
      <c r="CJ57" s="277"/>
      <c r="CM57" s="166" t="s">
        <v>368</v>
      </c>
      <c r="CN57" s="276">
        <f>SUMIF($I$5:$I$43,"oct",CT$5:CT$43)</f>
        <v>24.856527912191996</v>
      </c>
      <c r="CO57" s="166">
        <f>COUNTIF($I$5:$I$43,"oct")</f>
        <v>3</v>
      </c>
      <c r="CP57" s="73">
        <f t="shared" si="17"/>
        <v>8.285509304063998</v>
      </c>
      <c r="CQ57" s="463"/>
      <c r="CR57" s="463"/>
      <c r="CS57" s="277"/>
    </row>
    <row r="58" spans="9:97" ht="12.75">
      <c r="I58" s="465"/>
      <c r="R58" s="274"/>
      <c r="S58" s="47"/>
      <c r="T58" s="47"/>
      <c r="U58" s="47"/>
      <c r="V58" s="47"/>
      <c r="W58" s="47"/>
      <c r="X58" s="47"/>
      <c r="Y58" s="47"/>
      <c r="Z58" s="47"/>
      <c r="AB58" s="47" t="s">
        <v>369</v>
      </c>
      <c r="AC58" s="47">
        <f>SUMIF(I$5:I$43,"nov",AI$5:AI$42)</f>
        <v>13886.513593611264</v>
      </c>
      <c r="AD58" s="47">
        <f>COUNTIF(I$5:I$43,"nov")</f>
        <v>3</v>
      </c>
      <c r="AE58" s="71">
        <f t="shared" si="11"/>
        <v>4628.837864537088</v>
      </c>
      <c r="AF58" s="72" t="s">
        <v>336</v>
      </c>
      <c r="AK58" s="166" t="s">
        <v>369</v>
      </c>
      <c r="AL58" s="276">
        <f>SUMIF($I$5:$I$43,"nov",AR$5:AR$43)</f>
        <v>231.80898731963168</v>
      </c>
      <c r="AM58" s="166">
        <f>COUNTIF($I$5:$I$43,"nov")</f>
        <v>3</v>
      </c>
      <c r="AN58" s="73">
        <f t="shared" si="12"/>
        <v>77.26966243987722</v>
      </c>
      <c r="AO58" s="463"/>
      <c r="AP58" s="463"/>
      <c r="AQ58" s="277"/>
      <c r="AT58" s="166" t="s">
        <v>369</v>
      </c>
      <c r="AU58" s="276">
        <f>SUMIF($I$5:$I$43,"nov",BA$5:BA$43)</f>
        <v>257416.96489509504</v>
      </c>
      <c r="AV58" s="166">
        <f>COUNTIF($I$5:$I$43,"nov")</f>
        <v>3</v>
      </c>
      <c r="AW58" s="73">
        <f t="shared" si="13"/>
        <v>85805.65496503167</v>
      </c>
      <c r="AX58" s="463"/>
      <c r="AY58" s="463"/>
      <c r="AZ58" s="277"/>
      <c r="BC58" s="166" t="s">
        <v>369</v>
      </c>
      <c r="BD58" s="276">
        <f>SUMIF($I$5:$I$43,"nov",BJ$5:BJ$43)</f>
        <v>-188653.68195637807</v>
      </c>
      <c r="BE58" s="166">
        <f>COUNTIF($I$5:$I$43,"nov")</f>
        <v>3</v>
      </c>
      <c r="BF58" s="73">
        <f t="shared" si="14"/>
        <v>-62884.56065212603</v>
      </c>
      <c r="BG58" s="463"/>
      <c r="BH58" s="463"/>
      <c r="BU58" s="166" t="s">
        <v>369</v>
      </c>
      <c r="BV58" s="276">
        <f>SUMIF($I$5:$I$43,"nov",CB$5:CB$43)</f>
        <v>6475787.786487751</v>
      </c>
      <c r="BW58" s="166">
        <f>COUNTIF($I$5:$I$43,"nov")</f>
        <v>3</v>
      </c>
      <c r="BX58" s="73">
        <f t="shared" si="15"/>
        <v>2158595.9288292504</v>
      </c>
      <c r="BY58" s="463"/>
      <c r="BZ58" s="463"/>
      <c r="CA58" s="277"/>
      <c r="CD58" s="166" t="s">
        <v>369</v>
      </c>
      <c r="CE58" s="276">
        <f>SUMIF($I$5:$I$43,"nov",CK$5:CK$43)</f>
        <v>393255.7034813802</v>
      </c>
      <c r="CF58" s="166">
        <f>COUNTIF($I$5:$I$43,"nov")</f>
        <v>3</v>
      </c>
      <c r="CG58" s="73">
        <f t="shared" si="16"/>
        <v>131085.2344937934</v>
      </c>
      <c r="CH58" s="463"/>
      <c r="CI58" s="463"/>
      <c r="CJ58" s="277"/>
      <c r="CM58" s="166" t="s">
        <v>369</v>
      </c>
      <c r="CN58" s="276">
        <f>SUMIF($I$5:$I$43,"nov",CT$5:CT$43)</f>
        <v>48.332137607039996</v>
      </c>
      <c r="CO58" s="166">
        <f>COUNTIF($I$5:$I$43,"nov")</f>
        <v>3</v>
      </c>
      <c r="CP58" s="73">
        <f t="shared" si="17"/>
        <v>16.110712535679998</v>
      </c>
      <c r="CQ58" s="463"/>
      <c r="CR58" s="463"/>
      <c r="CS58" s="277"/>
    </row>
    <row r="59" spans="9:97" ht="13.5" thickBot="1">
      <c r="I59" s="466"/>
      <c r="S59" s="47"/>
      <c r="T59" s="47"/>
      <c r="U59" s="47"/>
      <c r="V59" s="47"/>
      <c r="W59" s="47"/>
      <c r="X59" s="47"/>
      <c r="Y59" s="47"/>
      <c r="Z59" s="47"/>
      <c r="AB59" s="281" t="s">
        <v>370</v>
      </c>
      <c r="AC59" s="281">
        <f>SUMIF(I$5:I$43,"dec",AI$5:AI$42)</f>
        <v>662.955820843232</v>
      </c>
      <c r="AD59" s="281">
        <f>COUNTIF(I$5:I$43,"dec")</f>
        <v>3</v>
      </c>
      <c r="AE59" s="138">
        <f t="shared" si="11"/>
        <v>220.98527361441066</v>
      </c>
      <c r="AF59" s="139"/>
      <c r="AG59" s="281"/>
      <c r="AH59" s="281"/>
      <c r="AI59" s="282"/>
      <c r="AJ59" s="283"/>
      <c r="AK59" s="284" t="s">
        <v>370</v>
      </c>
      <c r="AL59" s="285">
        <f>SUMIF($I$5:$I$43,"dec",AR$5:AR$43)</f>
        <v>4.988567060155201</v>
      </c>
      <c r="AM59" s="284">
        <f>COUNTIF($I$5:$I$43,"dec")</f>
        <v>3</v>
      </c>
      <c r="AN59" s="137">
        <f t="shared" si="12"/>
        <v>1.6628556867184001</v>
      </c>
      <c r="AO59" s="464"/>
      <c r="AP59" s="464"/>
      <c r="AQ59" s="286"/>
      <c r="AR59" s="282"/>
      <c r="AS59" s="283"/>
      <c r="AT59" s="284" t="s">
        <v>370</v>
      </c>
      <c r="AU59" s="285">
        <f>SUMIF($I$5:$I$43,"dec",BA$5:BA$43)</f>
        <v>3115.1213452918405</v>
      </c>
      <c r="AV59" s="284">
        <f>COUNTIF($I$5:$I$43,"dec")</f>
        <v>3</v>
      </c>
      <c r="AW59" s="137">
        <f t="shared" si="13"/>
        <v>1038.373781763947</v>
      </c>
      <c r="AX59" s="464"/>
      <c r="AY59" s="464"/>
      <c r="AZ59" s="286"/>
      <c r="BA59" s="282"/>
      <c r="BB59" s="283"/>
      <c r="BC59" s="284" t="s">
        <v>370</v>
      </c>
      <c r="BD59" s="285">
        <f>SUMIF($I$5:$I$43,"dec",BJ$5:BJ$43)</f>
        <v>-2871.1591268944003</v>
      </c>
      <c r="BE59" s="284">
        <f>COUNTIF($I$5:$I$43,"dec")</f>
        <v>3</v>
      </c>
      <c r="BF59" s="137">
        <f t="shared" si="14"/>
        <v>-957.0530422981334</v>
      </c>
      <c r="BG59" s="464"/>
      <c r="BH59" s="464"/>
      <c r="BI59" s="281"/>
      <c r="BJ59" s="282"/>
      <c r="BK59" s="283"/>
      <c r="BL59" s="281"/>
      <c r="BM59" s="281"/>
      <c r="BN59" s="281"/>
      <c r="BO59" s="281"/>
      <c r="BP59" s="281"/>
      <c r="BQ59" s="281"/>
      <c r="BR59" s="281"/>
      <c r="BS59" s="282"/>
      <c r="BT59" s="283"/>
      <c r="BU59" s="284" t="s">
        <v>370</v>
      </c>
      <c r="BV59" s="285">
        <f>SUMIF($I$5:$I$43,"dec",CB$5:CB$43)</f>
        <v>6532.89393321824</v>
      </c>
      <c r="BW59" s="284">
        <f>COUNTIF($I$5:$I$43,"dec")</f>
        <v>3</v>
      </c>
      <c r="BX59" s="137">
        <f t="shared" si="15"/>
        <v>2177.6313110727465</v>
      </c>
      <c r="BY59" s="464"/>
      <c r="BZ59" s="464"/>
      <c r="CA59" s="286"/>
      <c r="CB59" s="282"/>
      <c r="CC59" s="283"/>
      <c r="CD59" s="284" t="s">
        <v>370</v>
      </c>
      <c r="CE59" s="285">
        <f>SUMIF($I$5:$I$43,"dec",CK$5:CK$43)</f>
        <v>14308.614262046081</v>
      </c>
      <c r="CF59" s="284">
        <f>COUNTIF($I$5:$I$43,"dec")</f>
        <v>3</v>
      </c>
      <c r="CG59" s="137">
        <f t="shared" si="16"/>
        <v>4769.538087348694</v>
      </c>
      <c r="CH59" s="464"/>
      <c r="CI59" s="464"/>
      <c r="CJ59" s="286"/>
      <c r="CK59" s="282"/>
      <c r="CL59" s="283"/>
      <c r="CM59" s="284" t="s">
        <v>370</v>
      </c>
      <c r="CN59" s="285">
        <f>SUMIF($I$5:$I$43,"dec",CT$5:CT$43)</f>
        <v>8.860891894624</v>
      </c>
      <c r="CO59" s="284">
        <f>COUNTIF($I$5:$I$43,"dec")</f>
        <v>3</v>
      </c>
      <c r="CP59" s="137">
        <f t="shared" si="17"/>
        <v>2.9536306315413334</v>
      </c>
      <c r="CQ59" s="464"/>
      <c r="CR59" s="464"/>
      <c r="CS59" s="286"/>
    </row>
    <row r="60" spans="9:97" ht="12.75">
      <c r="I60" s="466"/>
      <c r="S60" s="47"/>
      <c r="T60" s="47"/>
      <c r="U60" s="47"/>
      <c r="V60" s="47"/>
      <c r="W60" s="47"/>
      <c r="X60" s="47"/>
      <c r="Y60" s="47"/>
      <c r="Z60" s="47"/>
      <c r="AC60" s="94"/>
      <c r="AE60" s="74"/>
      <c r="AF60" s="72"/>
      <c r="AK60" s="166"/>
      <c r="AL60" s="166"/>
      <c r="AM60" s="166"/>
      <c r="AN60" s="75"/>
      <c r="AO60" s="462"/>
      <c r="AP60" s="462"/>
      <c r="AQ60" s="166"/>
      <c r="AT60" s="166"/>
      <c r="AU60" s="166"/>
      <c r="AV60" s="166"/>
      <c r="AW60" s="75"/>
      <c r="AX60" s="462"/>
      <c r="AY60" s="462"/>
      <c r="AZ60" s="166"/>
      <c r="BC60" s="166"/>
      <c r="BD60" s="166"/>
      <c r="BE60" s="166"/>
      <c r="BF60" s="75"/>
      <c r="BG60" s="462"/>
      <c r="BH60" s="462"/>
      <c r="BU60" s="166"/>
      <c r="BV60" s="166"/>
      <c r="BW60" s="166"/>
      <c r="BX60" s="75"/>
      <c r="BY60" s="462"/>
      <c r="BZ60" s="462"/>
      <c r="CA60" s="166"/>
      <c r="CD60" s="166"/>
      <c r="CE60" s="166"/>
      <c r="CF60" s="166"/>
      <c r="CG60" s="75"/>
      <c r="CH60" s="462"/>
      <c r="CI60" s="462"/>
      <c r="CJ60" s="166"/>
      <c r="CM60" s="166"/>
      <c r="CN60" s="166"/>
      <c r="CO60" s="166"/>
      <c r="CP60" s="75"/>
      <c r="CQ60" s="462"/>
      <c r="CR60" s="462"/>
      <c r="CS60" s="166"/>
    </row>
    <row r="61" spans="9:97" ht="12.75">
      <c r="I61" s="466"/>
      <c r="S61" s="47"/>
      <c r="T61" s="47"/>
      <c r="U61" s="47"/>
      <c r="V61" s="47"/>
      <c r="W61" s="47"/>
      <c r="X61" s="47"/>
      <c r="Y61" s="47"/>
      <c r="Z61" s="47"/>
      <c r="AB61" s="47" t="s">
        <v>0</v>
      </c>
      <c r="AC61" s="47">
        <f>SUMIF(J$5:J$43,"2006",AI$5:AI$42)</f>
        <v>66306.59490710651</v>
      </c>
      <c r="AD61" s="47">
        <f>COUNTIF(J$5:J$43,"2006")</f>
        <v>12</v>
      </c>
      <c r="AE61" s="71">
        <f>AC61/AD61</f>
        <v>5525.549575592209</v>
      </c>
      <c r="AF61" s="72" t="s">
        <v>336</v>
      </c>
      <c r="AK61" s="47" t="s">
        <v>0</v>
      </c>
      <c r="AL61" s="276">
        <f>SUMIF($J$5:$J$43,"2006",AR$5:AR$42)</f>
        <v>574.1420656947528</v>
      </c>
      <c r="AM61" s="166">
        <f>COUNTIF($J$5:$J$43,"2006")</f>
        <v>12</v>
      </c>
      <c r="AN61" s="76">
        <f>AL61/AM61</f>
        <v>47.8451721412294</v>
      </c>
      <c r="AO61" s="463"/>
      <c r="AP61" s="463"/>
      <c r="AQ61" s="277"/>
      <c r="AT61" s="47" t="s">
        <v>0</v>
      </c>
      <c r="AU61" s="276">
        <f>SUMIF($J$5:$J$43,"2006",BA$5:BA$42)</f>
        <v>633991.406463996</v>
      </c>
      <c r="AV61" s="166">
        <f>COUNTIF($J$5:$J$43,"2006")</f>
        <v>12</v>
      </c>
      <c r="AW61" s="76">
        <f>AU61/AV61</f>
        <v>52832.617205333</v>
      </c>
      <c r="AX61" s="463"/>
      <c r="AY61" s="463"/>
      <c r="AZ61" s="277"/>
      <c r="BC61" s="47" t="s">
        <v>0</v>
      </c>
      <c r="BD61" s="276">
        <f>SUMIF($J$5:$J$43,"2006",BJ$5:BJ$42)</f>
        <v>-557287.7286990328</v>
      </c>
      <c r="BE61" s="166">
        <f>COUNTIF($J$5:$J$43,"2006")</f>
        <v>12</v>
      </c>
      <c r="BF61" s="76">
        <f>BD61/BE61</f>
        <v>-46440.644058252736</v>
      </c>
      <c r="BG61" s="463"/>
      <c r="BH61" s="463"/>
      <c r="BU61" s="47" t="s">
        <v>0</v>
      </c>
      <c r="BV61" s="276">
        <f>SUMIF($J$5:$J$43,"2006",CB$5:CB$42)</f>
        <v>21269783.639507987</v>
      </c>
      <c r="BW61" s="166">
        <f>COUNTIF($J$5:$J$43,"2006")</f>
        <v>12</v>
      </c>
      <c r="BX61" s="76">
        <f>BV61/BW61</f>
        <v>1772481.969958999</v>
      </c>
      <c r="BY61" s="463"/>
      <c r="BZ61" s="463"/>
      <c r="CA61" s="277"/>
      <c r="CD61" s="47" t="s">
        <v>0</v>
      </c>
      <c r="CE61" s="276">
        <f>SUMIF($J$5:$J$43,"2006",CK$5:CK$42)</f>
        <v>1531975.4802210429</v>
      </c>
      <c r="CF61" s="166">
        <f>COUNTIF($J$5:$J$43,"2006")</f>
        <v>12</v>
      </c>
      <c r="CG61" s="76">
        <f>CE61/CF61</f>
        <v>127664.62335175357</v>
      </c>
      <c r="CH61" s="463"/>
      <c r="CI61" s="463"/>
      <c r="CJ61" s="277"/>
      <c r="CM61" s="47" t="s">
        <v>0</v>
      </c>
      <c r="CN61" s="276">
        <f>SUMIF($J$5:$J$43,"2006",CT$5:CT$42)</f>
        <v>129.2194221879648</v>
      </c>
      <c r="CO61" s="166">
        <f>COUNTIF($J$5:$J$43,"2006")</f>
        <v>12</v>
      </c>
      <c r="CP61" s="76">
        <f>CN61/CO61</f>
        <v>10.7682851823304</v>
      </c>
      <c r="CQ61" s="463"/>
      <c r="CR61" s="463"/>
      <c r="CS61" s="277"/>
    </row>
    <row r="62" spans="9:97" ht="13.5" thickBot="1">
      <c r="I62" s="466"/>
      <c r="S62" s="47"/>
      <c r="T62" s="47"/>
      <c r="U62" s="47"/>
      <c r="V62" s="47"/>
      <c r="W62" s="47"/>
      <c r="X62" s="47"/>
      <c r="Y62" s="47"/>
      <c r="Z62" s="47"/>
      <c r="AB62" s="47" t="s">
        <v>1</v>
      </c>
      <c r="AC62" s="47">
        <f>SUMIF(J$5:J$43,"2007",AI$5:AI$42)</f>
        <v>38172.56117491483</v>
      </c>
      <c r="AD62" s="47">
        <f>COUNTIF(J$5:J$43,"2007")</f>
        <v>12</v>
      </c>
      <c r="AE62" s="71">
        <f>AC62/AD62</f>
        <v>3181.046764576236</v>
      </c>
      <c r="AF62" s="72" t="s">
        <v>336</v>
      </c>
      <c r="AK62" s="47" t="s">
        <v>1</v>
      </c>
      <c r="AL62" s="276">
        <f>SUMIF($J$5:$J$43,"2007",AR$5:AR$42)</f>
        <v>650.9114521515576</v>
      </c>
      <c r="AM62" s="166">
        <f>COUNTIF($J$5:$J$43,"2007")</f>
        <v>12</v>
      </c>
      <c r="AN62" s="76">
        <f>AL62/AM62</f>
        <v>54.2426210126298</v>
      </c>
      <c r="AO62" s="463"/>
      <c r="AP62" s="463"/>
      <c r="AQ62" s="277"/>
      <c r="AT62" s="47" t="s">
        <v>1</v>
      </c>
      <c r="AU62" s="276">
        <f>SUMIF($J$5:$J$43,"2007",BA$5:BA$42)</f>
        <v>361356.1014005722</v>
      </c>
      <c r="AV62" s="166">
        <f>COUNTIF($J$5:$J$43,"2007")</f>
        <v>12</v>
      </c>
      <c r="AW62" s="76">
        <f>AU62/AV62</f>
        <v>30113.008450047684</v>
      </c>
      <c r="AX62" s="463"/>
      <c r="AY62" s="463"/>
      <c r="AZ62" s="277"/>
      <c r="BC62" s="47" t="s">
        <v>1</v>
      </c>
      <c r="BD62" s="276">
        <f>SUMIF($J$5:$J$43,"2007",BJ$5:BJ$42)</f>
        <v>-344544.6189001974</v>
      </c>
      <c r="BE62" s="166">
        <f>COUNTIF($J$5:$J$43,"2007")</f>
        <v>12</v>
      </c>
      <c r="BF62" s="76">
        <f>BD62/BE62</f>
        <v>-28712.05157501645</v>
      </c>
      <c r="BG62" s="463"/>
      <c r="BH62" s="463"/>
      <c r="BU62" s="47" t="s">
        <v>1</v>
      </c>
      <c r="BV62" s="276">
        <f>SUMIF($J$5:$J$43,"2007",CB$5:CB$42)</f>
        <v>5934440.549138806</v>
      </c>
      <c r="BW62" s="166">
        <f>COUNTIF($J$5:$J$43,"2007")</f>
        <v>12</v>
      </c>
      <c r="BX62" s="76">
        <f>BV62/BW62</f>
        <v>494536.7124282338</v>
      </c>
      <c r="BY62" s="463"/>
      <c r="BZ62" s="463"/>
      <c r="CA62" s="277"/>
      <c r="CD62" s="47" t="s">
        <v>1</v>
      </c>
      <c r="CE62" s="276">
        <f>SUMIF($J$5:$J$43,"2007",CK$5:CK$42)</f>
        <v>391745.76147192897</v>
      </c>
      <c r="CF62" s="166">
        <f>COUNTIF($J$5:$J$43,"2007")</f>
        <v>12</v>
      </c>
      <c r="CG62" s="76">
        <f>CE62/CF62</f>
        <v>32645.48012266075</v>
      </c>
      <c r="CH62" s="463"/>
      <c r="CI62" s="463"/>
      <c r="CJ62" s="277"/>
      <c r="CM62" s="47" t="s">
        <v>1</v>
      </c>
      <c r="CN62" s="276">
        <f>SUMIF($J$5:$J$43,"2007",CT$5:CT$42)</f>
        <v>139.24258691552</v>
      </c>
      <c r="CO62" s="166">
        <f>COUNTIF($J$5:$J$43,"2007")</f>
        <v>12</v>
      </c>
      <c r="CP62" s="76">
        <f>CN62/CO62</f>
        <v>11.603548909626667</v>
      </c>
      <c r="CQ62" s="463"/>
      <c r="CR62" s="463"/>
      <c r="CS62" s="277"/>
    </row>
    <row r="63" spans="9:97" ht="13.5" thickBot="1">
      <c r="I63" s="466"/>
      <c r="S63" s="47"/>
      <c r="T63" s="47"/>
      <c r="U63" s="47"/>
      <c r="V63" s="47"/>
      <c r="W63" s="47"/>
      <c r="X63" s="47"/>
      <c r="Y63" s="47"/>
      <c r="Z63" s="47"/>
      <c r="AB63" s="77" t="s">
        <v>2</v>
      </c>
      <c r="AC63" s="78">
        <f>SUM(AI5:AI42)</f>
        <v>148258.7285407289</v>
      </c>
      <c r="AD63" s="78">
        <f>COUNT(J5:J43)</f>
        <v>39</v>
      </c>
      <c r="AE63" s="79">
        <f>AC63/AD63</f>
        <v>3801.5058600186894</v>
      </c>
      <c r="AF63" s="80" t="s">
        <v>336</v>
      </c>
      <c r="AK63" s="77" t="s">
        <v>2</v>
      </c>
      <c r="AL63" s="82">
        <f>SUM(AR5:AR43)</f>
        <v>1852.3413719007278</v>
      </c>
      <c r="AM63" s="81">
        <f>COUNT($J$5:$J$43)</f>
        <v>39</v>
      </c>
      <c r="AN63" s="83">
        <f>AL63/AM63</f>
        <v>47.49593261283918</v>
      </c>
      <c r="AO63" s="463"/>
      <c r="AP63" s="463"/>
      <c r="AQ63" s="277"/>
      <c r="AT63" s="77" t="s">
        <v>2</v>
      </c>
      <c r="AU63" s="82">
        <f>SUM(BA5:BA43)</f>
        <v>1562894.5383063217</v>
      </c>
      <c r="AV63" s="81">
        <f>COUNT($J$5:$J$43)</f>
        <v>39</v>
      </c>
      <c r="AW63" s="83">
        <f>AU63/AV63</f>
        <v>40074.218930931325</v>
      </c>
      <c r="AX63" s="463"/>
      <c r="AY63" s="463"/>
      <c r="AZ63" s="277"/>
      <c r="BC63" s="77" t="s">
        <v>2</v>
      </c>
      <c r="BD63" s="82">
        <f>SUM(BJ5:BJ43)</f>
        <v>-1465029.4856563506</v>
      </c>
      <c r="BE63" s="81">
        <f>COUNT($J$5:$J$43)</f>
        <v>39</v>
      </c>
      <c r="BF63" s="83">
        <f>BD63/BE63</f>
        <v>-37564.85860657309</v>
      </c>
      <c r="BG63" s="463"/>
      <c r="BH63" s="463"/>
      <c r="BU63" s="77" t="s">
        <v>2</v>
      </c>
      <c r="BV63" s="82">
        <f>SUM(CB5:CB43)</f>
        <v>44522317.250827536</v>
      </c>
      <c r="BW63" s="81">
        <f>COUNT($J$5:$J$43)</f>
        <v>39</v>
      </c>
      <c r="BX63" s="83">
        <f>BV63/BW63</f>
        <v>1141597.878226347</v>
      </c>
      <c r="BY63" s="463"/>
      <c r="BZ63" s="463"/>
      <c r="CA63" s="277"/>
      <c r="CD63" s="77" t="s">
        <v>2</v>
      </c>
      <c r="CE63" s="82">
        <f>SUM(CK5:CK43)</f>
        <v>3431788.654664102</v>
      </c>
      <c r="CF63" s="81">
        <f>COUNT($J$5:$J$43)</f>
        <v>39</v>
      </c>
      <c r="CG63" s="83">
        <f>CE63/CF63</f>
        <v>87994.58088882313</v>
      </c>
      <c r="CH63" s="463"/>
      <c r="CI63" s="463"/>
      <c r="CJ63" s="277"/>
      <c r="CM63" s="77" t="s">
        <v>2</v>
      </c>
      <c r="CN63" s="82">
        <f>SUM(CT5:CT43)</f>
        <v>1951.294979366128</v>
      </c>
      <c r="CO63" s="81">
        <f>COUNT($J$5:$J$43)</f>
        <v>39</v>
      </c>
      <c r="CP63" s="83">
        <f>CN63/CO63</f>
        <v>50.03320459913149</v>
      </c>
      <c r="CQ63" s="463"/>
      <c r="CR63" s="463"/>
      <c r="CS63" s="277"/>
    </row>
    <row r="64" spans="9:95" ht="12.75">
      <c r="I64" s="466"/>
      <c r="S64" s="47"/>
      <c r="T64" s="47"/>
      <c r="U64" s="47"/>
      <c r="V64" s="47"/>
      <c r="W64" s="47"/>
      <c r="X64" s="47"/>
      <c r="Y64" s="47"/>
      <c r="Z64" s="47"/>
      <c r="AB64" s="1" t="s">
        <v>3</v>
      </c>
      <c r="AC64" s="1">
        <f>AVERAGE(AC61:AC62)</f>
        <v>52239.57804101067</v>
      </c>
      <c r="AE64" s="84">
        <f>AVERAGE(AE61:AE62)</f>
        <v>4353.298170084223</v>
      </c>
      <c r="AF64" s="85" t="s">
        <v>336</v>
      </c>
      <c r="AK64" s="1" t="s">
        <v>3</v>
      </c>
      <c r="AL64" s="134">
        <f>AVERAGE(AL61:AL62)</f>
        <v>612.5267589231552</v>
      </c>
      <c r="AN64" s="84">
        <f>AVERAGE(AN61:AN62)</f>
        <v>51.0438965769296</v>
      </c>
      <c r="AO64" s="85" t="s">
        <v>336</v>
      </c>
      <c r="AP64" s="167"/>
      <c r="AT64" s="1" t="s">
        <v>3</v>
      </c>
      <c r="AU64" s="1">
        <f>AVERAGE(AU61:AU62)</f>
        <v>497673.75393228413</v>
      </c>
      <c r="AW64" s="84">
        <f>AVERAGE(AW61:AW62)</f>
        <v>41472.812827690344</v>
      </c>
      <c r="AX64" s="85" t="s">
        <v>336</v>
      </c>
      <c r="BC64" s="1" t="s">
        <v>3</v>
      </c>
      <c r="BD64" s="1">
        <f>AVERAGE(BD61:BD62)</f>
        <v>-450916.1737996151</v>
      </c>
      <c r="BF64" s="84">
        <f>AVERAGE(BF61:BF62)</f>
        <v>-37576.34781663459</v>
      </c>
      <c r="BG64" s="85" t="s">
        <v>336</v>
      </c>
      <c r="BU64" s="1" t="s">
        <v>3</v>
      </c>
      <c r="BV64" s="134">
        <f>AVERAGE(BV61:BV62)</f>
        <v>13602112.094323397</v>
      </c>
      <c r="BX64" s="84">
        <f>AVERAGE(BX61:BX62)</f>
        <v>1133509.3411936164</v>
      </c>
      <c r="BY64" s="85" t="s">
        <v>336</v>
      </c>
      <c r="CD64" s="1" t="s">
        <v>3</v>
      </c>
      <c r="CE64" s="1">
        <f>AVERAGE(CE61:CE62)</f>
        <v>961860.620846486</v>
      </c>
      <c r="CG64" s="84">
        <f>AVERAGE(CG61:CG62)</f>
        <v>80155.05173720716</v>
      </c>
      <c r="CH64" s="85" t="s">
        <v>336</v>
      </c>
      <c r="CM64" s="1" t="s">
        <v>3</v>
      </c>
      <c r="CN64" s="1">
        <f>AVERAGE(CN61:CN62)</f>
        <v>134.2310045517424</v>
      </c>
      <c r="CP64" s="84">
        <f>AVERAGE(CP61:CP62)</f>
        <v>11.185917045978535</v>
      </c>
      <c r="CQ64" s="85" t="s">
        <v>336</v>
      </c>
    </row>
    <row r="65" spans="9:92" ht="12.75">
      <c r="I65" s="466"/>
      <c r="S65" s="47"/>
      <c r="T65" s="47"/>
      <c r="U65" s="47"/>
      <c r="V65" s="47"/>
      <c r="W65" s="47"/>
      <c r="X65" s="47"/>
      <c r="Y65" s="47"/>
      <c r="Z65" s="47"/>
      <c r="AB65" s="59" t="s">
        <v>371</v>
      </c>
      <c r="AC65" s="133">
        <f>AC64/'Mine Prod'!B8/907.18474</f>
        <v>8.708155077805522E-06</v>
      </c>
      <c r="AD65" s="1" t="s">
        <v>4</v>
      </c>
      <c r="AE65" s="287"/>
      <c r="AK65" s="59" t="s">
        <v>371</v>
      </c>
      <c r="AL65" s="140">
        <f>AL64/'Mine Prod'!B8/907.18474</f>
        <v>1.0210606988098171E-07</v>
      </c>
      <c r="AM65" s="1" t="s">
        <v>5</v>
      </c>
      <c r="AT65" s="59" t="s">
        <v>371</v>
      </c>
      <c r="AU65" s="133">
        <f>AU64/'Mine Prod'!B8/907.18474</f>
        <v>8.296047536972239E-05</v>
      </c>
      <c r="AV65" s="1" t="s">
        <v>14</v>
      </c>
      <c r="BC65" s="69" t="s">
        <v>371</v>
      </c>
      <c r="BD65" s="135">
        <f>BD64/'Mine Prod'!B8/907.18474</f>
        <v>-7.51661501832029E-05</v>
      </c>
      <c r="BE65" s="1" t="s">
        <v>12</v>
      </c>
      <c r="BU65" s="59" t="s">
        <v>371</v>
      </c>
      <c r="BV65" s="131">
        <f>BV64/'Mine Prod'!B8/907.18474</f>
        <v>0.0022674245456208242</v>
      </c>
      <c r="BW65" s="1" t="s">
        <v>6</v>
      </c>
      <c r="CD65" s="59" t="s">
        <v>371</v>
      </c>
      <c r="CE65" s="132">
        <f>CE64/'Mine Prod'!B8/907.18474</f>
        <v>0.00016033880371296065</v>
      </c>
      <c r="CF65" s="1" t="s">
        <v>8</v>
      </c>
      <c r="CM65" s="59" t="s">
        <v>371</v>
      </c>
      <c r="CN65" s="140">
        <f>CN64/'Mine Prod'!B8/907.18474</f>
        <v>2.237583931035093E-08</v>
      </c>
    </row>
    <row r="66" spans="9:55" ht="12.75">
      <c r="I66" s="466"/>
      <c r="S66" s="47"/>
      <c r="T66" s="47"/>
      <c r="U66" s="47"/>
      <c r="V66" s="47"/>
      <c r="W66" s="47"/>
      <c r="X66" s="47"/>
      <c r="Y66" s="47"/>
      <c r="Z66" s="47"/>
      <c r="BC66" s="136" t="s">
        <v>13</v>
      </c>
    </row>
    <row r="67" spans="9:57" ht="12.75">
      <c r="I67" s="466"/>
      <c r="S67" s="47"/>
      <c r="T67" s="47"/>
      <c r="U67" s="47"/>
      <c r="V67" s="47"/>
      <c r="W67" s="47"/>
      <c r="X67" s="47"/>
      <c r="Y67" s="47"/>
      <c r="Z67" s="47"/>
      <c r="BC67" s="59" t="s">
        <v>371</v>
      </c>
      <c r="BD67" s="288">
        <f>0</f>
        <v>0</v>
      </c>
      <c r="BE67" s="1" t="s">
        <v>12</v>
      </c>
    </row>
    <row r="68" spans="9:26" ht="12.75">
      <c r="I68" s="466"/>
      <c r="S68" s="47"/>
      <c r="T68" s="47"/>
      <c r="U68" s="47"/>
      <c r="V68" s="47"/>
      <c r="W68" s="47"/>
      <c r="X68" s="47"/>
      <c r="Y68" s="47"/>
      <c r="Z68" s="47"/>
    </row>
    <row r="69" spans="9:26" ht="12.75">
      <c r="I69" s="466"/>
      <c r="S69" s="47"/>
      <c r="T69" s="47"/>
      <c r="U69" s="47"/>
      <c r="V69" s="47"/>
      <c r="W69" s="47"/>
      <c r="X69" s="47"/>
      <c r="Y69" s="47"/>
      <c r="Z69" s="47"/>
    </row>
    <row r="70" spans="9:26" ht="12.75">
      <c r="I70" s="466"/>
      <c r="S70" s="47"/>
      <c r="T70" s="47"/>
      <c r="U70" s="47"/>
      <c r="V70" s="47"/>
      <c r="W70" s="47"/>
      <c r="X70" s="47"/>
      <c r="Y70" s="47"/>
      <c r="Z70" s="47"/>
    </row>
    <row r="71" spans="9:26" ht="12.75">
      <c r="I71" s="466"/>
      <c r="S71" s="47"/>
      <c r="T71" s="47"/>
      <c r="U71" s="47"/>
      <c r="V71" s="47"/>
      <c r="W71" s="47"/>
      <c r="X71" s="47"/>
      <c r="Y71" s="47"/>
      <c r="Z71" s="47"/>
    </row>
    <row r="72" spans="9:26" ht="12.75">
      <c r="I72" s="466"/>
      <c r="S72" s="47"/>
      <c r="T72" s="47"/>
      <c r="U72" s="47"/>
      <c r="V72" s="47"/>
      <c r="W72" s="47"/>
      <c r="X72" s="47"/>
      <c r="Y72" s="47"/>
      <c r="Z72" s="47"/>
    </row>
    <row r="73" spans="9:26" ht="12.75">
      <c r="I73" s="467"/>
      <c r="S73" s="47"/>
      <c r="T73" s="47"/>
      <c r="U73" s="47"/>
      <c r="V73" s="47"/>
      <c r="W73" s="47"/>
      <c r="X73" s="47"/>
      <c r="Y73" s="47"/>
      <c r="Z73" s="47"/>
    </row>
    <row r="74" spans="9:26" ht="12.75">
      <c r="I74" s="467"/>
      <c r="S74" s="47"/>
      <c r="T74" s="47"/>
      <c r="U74" s="47"/>
      <c r="V74" s="47"/>
      <c r="W74" s="47"/>
      <c r="X74" s="47"/>
      <c r="Y74" s="47"/>
      <c r="Z74" s="47"/>
    </row>
    <row r="75" spans="9:26" ht="12.75">
      <c r="I75" s="467"/>
      <c r="S75" s="47"/>
      <c r="T75" s="47"/>
      <c r="U75" s="47"/>
      <c r="V75" s="47"/>
      <c r="W75" s="47"/>
      <c r="X75" s="47"/>
      <c r="Y75" s="47"/>
      <c r="Z75" s="47"/>
    </row>
    <row r="76" spans="9:26" ht="12.75">
      <c r="I76" s="467"/>
      <c r="S76" s="47"/>
      <c r="T76" s="47"/>
      <c r="U76" s="47"/>
      <c r="V76" s="47"/>
      <c r="W76" s="47"/>
      <c r="X76" s="47"/>
      <c r="Y76" s="47"/>
      <c r="Z76" s="47"/>
    </row>
    <row r="77" spans="9:26" ht="12.75">
      <c r="I77" s="467"/>
      <c r="S77" s="47"/>
      <c r="T77" s="47"/>
      <c r="U77" s="47"/>
      <c r="V77" s="47"/>
      <c r="W77" s="47"/>
      <c r="X77" s="47"/>
      <c r="Y77" s="47"/>
      <c r="Z77" s="47"/>
    </row>
    <row r="78" spans="9:26" ht="12.75">
      <c r="I78" s="467"/>
      <c r="S78" s="47"/>
      <c r="T78" s="47"/>
      <c r="U78" s="47"/>
      <c r="V78" s="47"/>
      <c r="W78" s="47"/>
      <c r="X78" s="47"/>
      <c r="Y78" s="47"/>
      <c r="Z78" s="47"/>
    </row>
    <row r="79" spans="9:26" ht="12.75">
      <c r="I79" s="467"/>
      <c r="S79" s="47"/>
      <c r="T79" s="47"/>
      <c r="U79" s="47"/>
      <c r="V79" s="47"/>
      <c r="W79" s="47"/>
      <c r="X79" s="47"/>
      <c r="Y79" s="47"/>
      <c r="Z79" s="47"/>
    </row>
    <row r="80" spans="9:26" ht="12.75">
      <c r="I80" s="467"/>
      <c r="S80" s="47"/>
      <c r="T80" s="47"/>
      <c r="U80" s="47"/>
      <c r="V80" s="47"/>
      <c r="W80" s="47"/>
      <c r="X80" s="47"/>
      <c r="Y80" s="47"/>
      <c r="Z80" s="47"/>
    </row>
    <row r="81" spans="9:26" ht="12.75">
      <c r="I81" s="467"/>
      <c r="S81" s="47"/>
      <c r="T81" s="47"/>
      <c r="U81" s="47"/>
      <c r="V81" s="47"/>
      <c r="W81" s="47"/>
      <c r="X81" s="47"/>
      <c r="Y81" s="47"/>
      <c r="Z81" s="47"/>
    </row>
    <row r="82" spans="9:26" ht="12.75">
      <c r="I82" s="467"/>
      <c r="S82" s="47"/>
      <c r="T82" s="47"/>
      <c r="U82" s="47"/>
      <c r="V82" s="47"/>
      <c r="W82" s="47"/>
      <c r="X82" s="47"/>
      <c r="Y82" s="47"/>
      <c r="Z82" s="47"/>
    </row>
    <row r="83" spans="19:26" ht="12.75">
      <c r="S83" s="47"/>
      <c r="T83" s="47"/>
      <c r="U83" s="47"/>
      <c r="V83" s="47"/>
      <c r="W83" s="47"/>
      <c r="X83" s="47"/>
      <c r="Y83" s="47"/>
      <c r="Z83" s="47"/>
    </row>
    <row r="84" spans="19:26" ht="12.75">
      <c r="S84" s="47"/>
      <c r="T84" s="47"/>
      <c r="U84" s="47"/>
      <c r="V84" s="47"/>
      <c r="W84" s="47"/>
      <c r="X84" s="47"/>
      <c r="Y84" s="47"/>
      <c r="Z84" s="47"/>
    </row>
    <row r="85" spans="19:26" ht="12.75">
      <c r="S85" s="47"/>
      <c r="T85" s="47"/>
      <c r="U85" s="47"/>
      <c r="V85" s="47"/>
      <c r="W85" s="47"/>
      <c r="X85" s="47"/>
      <c r="Y85" s="47"/>
      <c r="Z85" s="47"/>
    </row>
    <row r="86" ht="12.75">
      <c r="J86" s="87"/>
    </row>
    <row r="91" ht="12.75">
      <c r="J91" s="87" t="s">
        <v>372</v>
      </c>
    </row>
    <row r="92" spans="11:12" ht="12.75">
      <c r="K92" s="1" t="s">
        <v>373</v>
      </c>
      <c r="L92" s="1" t="s">
        <v>325</v>
      </c>
    </row>
    <row r="93" spans="10:12" ht="12.75">
      <c r="J93" s="87">
        <v>2005</v>
      </c>
      <c r="K93" s="47">
        <f>SUM(K87,L87,N87,P87)</f>
        <v>0</v>
      </c>
      <c r="L93" s="47">
        <f>SUM(M87,Q87)</f>
        <v>0</v>
      </c>
    </row>
    <row r="94" spans="10:12" ht="12.75">
      <c r="J94" s="87">
        <v>2006</v>
      </c>
      <c r="K94" s="47">
        <f>SUM(K88,L88,N88,P88)</f>
        <v>0</v>
      </c>
      <c r="L94" s="47">
        <f>SUM(M88,Q88)</f>
        <v>0</v>
      </c>
    </row>
    <row r="95" spans="10:12" ht="12.75">
      <c r="J95" s="87">
        <v>2007</v>
      </c>
      <c r="K95" s="47">
        <f>SUM(K89,L89,N89,P89)</f>
        <v>0</v>
      </c>
      <c r="L95" s="47">
        <f>SUM(M89,Q89)</f>
        <v>0</v>
      </c>
    </row>
    <row r="96" spans="11:12" ht="12.75">
      <c r="K96" s="1" t="s">
        <v>373</v>
      </c>
      <c r="L96" s="1" t="s">
        <v>325</v>
      </c>
    </row>
    <row r="97" spans="10:12" ht="12.75">
      <c r="J97" s="87" t="s">
        <v>304</v>
      </c>
      <c r="K97" s="289">
        <f>AVERAGE(K93:K95)</f>
        <v>0</v>
      </c>
      <c r="L97" s="47">
        <f>AVERAGE(L93:L95)</f>
        <v>0</v>
      </c>
    </row>
    <row r="98" ht="12.75">
      <c r="J98" s="87" t="s">
        <v>374</v>
      </c>
    </row>
  </sheetData>
  <sheetProtection/>
  <mergeCells count="114">
    <mergeCell ref="AO48:AP48"/>
    <mergeCell ref="AX48:AY48"/>
    <mergeCell ref="BY48:BZ48"/>
    <mergeCell ref="CH48:CI48"/>
    <mergeCell ref="CM46:CS46"/>
    <mergeCell ref="AG47:AH47"/>
    <mergeCell ref="AO47:AP47"/>
    <mergeCell ref="AX47:AY47"/>
    <mergeCell ref="BY47:BZ47"/>
    <mergeCell ref="CH47:CI47"/>
    <mergeCell ref="BG47:BH47"/>
    <mergeCell ref="BG50:BH50"/>
    <mergeCell ref="BY49:BZ49"/>
    <mergeCell ref="CH49:CI49"/>
    <mergeCell ref="CQ49:CR49"/>
    <mergeCell ref="BG49:BH49"/>
    <mergeCell ref="AO52:AP52"/>
    <mergeCell ref="AX52:AY52"/>
    <mergeCell ref="S46:Y46"/>
    <mergeCell ref="AB46:AI46"/>
    <mergeCell ref="AK46:AQ46"/>
    <mergeCell ref="AT46:AZ46"/>
    <mergeCell ref="AG48:AH48"/>
    <mergeCell ref="AG49:AH49"/>
    <mergeCell ref="AO49:AP49"/>
    <mergeCell ref="AX49:AY49"/>
    <mergeCell ref="CH51:CI51"/>
    <mergeCell ref="AO51:AP51"/>
    <mergeCell ref="AO50:AP50"/>
    <mergeCell ref="AX50:AY50"/>
    <mergeCell ref="BY50:BZ50"/>
    <mergeCell ref="AX51:AY51"/>
    <mergeCell ref="BY51:BZ51"/>
    <mergeCell ref="BG51:BH51"/>
    <mergeCell ref="BG52:BH52"/>
    <mergeCell ref="CQ48:CR48"/>
    <mergeCell ref="BG48:BH48"/>
    <mergeCell ref="CQ47:CR47"/>
    <mergeCell ref="BU46:CA46"/>
    <mergeCell ref="CD46:CJ46"/>
    <mergeCell ref="BC46:BI46"/>
    <mergeCell ref="CH50:CI50"/>
    <mergeCell ref="CQ50:CR50"/>
    <mergeCell ref="CQ51:CR51"/>
    <mergeCell ref="CH55:CI55"/>
    <mergeCell ref="CH57:CI57"/>
    <mergeCell ref="CH53:CI53"/>
    <mergeCell ref="AO53:AP53"/>
    <mergeCell ref="AX53:AY53"/>
    <mergeCell ref="BY53:BZ53"/>
    <mergeCell ref="BG53:BH53"/>
    <mergeCell ref="AX57:AY57"/>
    <mergeCell ref="BY57:BZ57"/>
    <mergeCell ref="AO56:AP56"/>
    <mergeCell ref="BY52:BZ52"/>
    <mergeCell ref="CQ53:CR53"/>
    <mergeCell ref="CH52:CI52"/>
    <mergeCell ref="CQ52:CR52"/>
    <mergeCell ref="CQ57:CR57"/>
    <mergeCell ref="CH56:CI56"/>
    <mergeCell ref="CQ56:CR56"/>
    <mergeCell ref="CH54:CI54"/>
    <mergeCell ref="CQ54:CR54"/>
    <mergeCell ref="CQ55:CR55"/>
    <mergeCell ref="AX56:AY56"/>
    <mergeCell ref="BY56:BZ56"/>
    <mergeCell ref="AO55:AP55"/>
    <mergeCell ref="BG56:BH56"/>
    <mergeCell ref="CH61:CI61"/>
    <mergeCell ref="AO54:AP54"/>
    <mergeCell ref="AX54:AY54"/>
    <mergeCell ref="BY54:BZ54"/>
    <mergeCell ref="AX55:AY55"/>
    <mergeCell ref="BY55:BZ55"/>
    <mergeCell ref="BG54:BH54"/>
    <mergeCell ref="BG55:BH55"/>
    <mergeCell ref="BG57:BH57"/>
    <mergeCell ref="AO57:AP57"/>
    <mergeCell ref="I58:I82"/>
    <mergeCell ref="AO58:AP58"/>
    <mergeCell ref="AX58:AY58"/>
    <mergeCell ref="AO60:AP60"/>
    <mergeCell ref="AX60:AY60"/>
    <mergeCell ref="AO63:AP63"/>
    <mergeCell ref="AX63:AY63"/>
    <mergeCell ref="AO61:AP61"/>
    <mergeCell ref="AX61:AY61"/>
    <mergeCell ref="CQ58:CR58"/>
    <mergeCell ref="AO59:AP59"/>
    <mergeCell ref="AX59:AY59"/>
    <mergeCell ref="BY59:BZ59"/>
    <mergeCell ref="CH59:CI59"/>
    <mergeCell ref="CQ59:CR59"/>
    <mergeCell ref="BY58:BZ58"/>
    <mergeCell ref="CQ63:CR63"/>
    <mergeCell ref="BG60:BH60"/>
    <mergeCell ref="CH58:CI58"/>
    <mergeCell ref="BG58:BH58"/>
    <mergeCell ref="BG59:BH59"/>
    <mergeCell ref="AO62:AP62"/>
    <mergeCell ref="AX62:AY62"/>
    <mergeCell ref="BY62:BZ62"/>
    <mergeCell ref="CH62:CI62"/>
    <mergeCell ref="CH60:CI60"/>
    <mergeCell ref="CQ60:CR60"/>
    <mergeCell ref="BY61:BZ61"/>
    <mergeCell ref="CQ62:CR62"/>
    <mergeCell ref="BG63:BH63"/>
    <mergeCell ref="BG62:BH62"/>
    <mergeCell ref="CQ61:CR61"/>
    <mergeCell ref="BY60:BZ60"/>
    <mergeCell ref="BG61:BH61"/>
    <mergeCell ref="BY63:BZ63"/>
    <mergeCell ref="CH63:CI63"/>
  </mergeCells>
  <printOptions/>
  <pageMargins left="0.75" right="0.75" top="1" bottom="1" header="0.5" footer="0.5"/>
  <pageSetup horizontalDpi="1200" verticalDpi="12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codeName="Sheet6"/>
  <dimension ref="A1:AL27"/>
  <sheetViews>
    <sheetView zoomScalePageLayoutView="0" workbookViewId="0" topLeftCell="A1">
      <selection activeCell="A1" sqref="A1"/>
    </sheetView>
  </sheetViews>
  <sheetFormatPr defaultColWidth="9.140625" defaultRowHeight="12.75"/>
  <cols>
    <col min="1" max="1" width="14.28125" style="0" customWidth="1"/>
  </cols>
  <sheetData>
    <row r="1" spans="1:38" ht="20.25">
      <c r="A1" s="49"/>
      <c r="B1" s="49"/>
      <c r="C1" s="49"/>
      <c r="D1" s="49"/>
      <c r="E1" s="49"/>
      <c r="F1" s="49"/>
      <c r="G1" s="49"/>
      <c r="H1" s="161" t="s">
        <v>615</v>
      </c>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9" s="164" customFormat="1" ht="20.25">
      <c r="A2" s="158" t="s">
        <v>587</v>
      </c>
      <c r="B2" s="158"/>
      <c r="C2" s="158"/>
      <c r="D2" s="158"/>
      <c r="E2" s="158"/>
      <c r="F2" s="158"/>
      <c r="G2" s="158"/>
      <c r="H2" s="158"/>
      <c r="I2" s="158" t="s">
        <v>91</v>
      </c>
    </row>
    <row r="3" ht="12.75">
      <c r="I3" s="47" t="s">
        <v>616</v>
      </c>
    </row>
    <row r="4" ht="12.75">
      <c r="A4" s="47" t="s">
        <v>300</v>
      </c>
    </row>
    <row r="5" spans="1:2" ht="12.75">
      <c r="A5">
        <v>2002</v>
      </c>
      <c r="B5">
        <v>354</v>
      </c>
    </row>
    <row r="6" spans="1:2" ht="12.75">
      <c r="A6">
        <v>2003</v>
      </c>
      <c r="B6">
        <v>238</v>
      </c>
    </row>
    <row r="7" spans="1:2" ht="12.75">
      <c r="A7">
        <v>2004</v>
      </c>
      <c r="B7">
        <v>315</v>
      </c>
    </row>
    <row r="8" spans="1:2" ht="12.75">
      <c r="A8">
        <v>2005</v>
      </c>
      <c r="B8">
        <v>464</v>
      </c>
    </row>
    <row r="9" spans="1:2" ht="12.75">
      <c r="A9">
        <v>2006</v>
      </c>
      <c r="B9">
        <v>429</v>
      </c>
    </row>
    <row r="10" spans="1:2" ht="12.75">
      <c r="A10" s="1" t="s">
        <v>301</v>
      </c>
      <c r="B10" s="160">
        <f>AVERAGE(B5:B9)</f>
        <v>360</v>
      </c>
    </row>
    <row r="11" spans="1:2" ht="12.75">
      <c r="A11" s="1" t="s">
        <v>302</v>
      </c>
      <c r="B11" s="69">
        <f>STDEV(B5:B9)</f>
        <v>90.1692852361601</v>
      </c>
    </row>
    <row r="15" ht="12.75">
      <c r="A15" s="362" t="s">
        <v>833</v>
      </c>
    </row>
    <row r="16" spans="2:9" ht="12.75">
      <c r="B16" s="160">
        <f>15.8</f>
        <v>15.8</v>
      </c>
      <c r="C16" s="362" t="s">
        <v>831</v>
      </c>
      <c r="I16" s="362" t="s">
        <v>832</v>
      </c>
    </row>
    <row r="17" spans="2:3" ht="12.75">
      <c r="B17">
        <f>B16*0.6</f>
        <v>9.48</v>
      </c>
      <c r="C17" s="362" t="s">
        <v>834</v>
      </c>
    </row>
    <row r="19" spans="1:7" ht="12.75">
      <c r="A19" s="117"/>
      <c r="B19" s="117"/>
      <c r="C19" s="117"/>
      <c r="D19" s="117"/>
      <c r="E19" s="117"/>
      <c r="F19" s="117"/>
      <c r="G19" s="117"/>
    </row>
    <row r="20" spans="1:7" ht="12.75">
      <c r="A20" s="470"/>
      <c r="B20" s="470"/>
      <c r="C20" s="470"/>
      <c r="D20" s="470"/>
      <c r="E20" s="470"/>
      <c r="F20" s="117"/>
      <c r="G20" s="117"/>
    </row>
    <row r="21" spans="1:7" ht="12.75">
      <c r="A21" s="118"/>
      <c r="B21" s="118"/>
      <c r="C21" s="118"/>
      <c r="D21" s="118"/>
      <c r="E21" s="119"/>
      <c r="F21" s="117"/>
      <c r="G21" s="117"/>
    </row>
    <row r="22" spans="1:7" ht="12.75">
      <c r="A22" s="120"/>
      <c r="B22" s="93"/>
      <c r="C22" s="121"/>
      <c r="D22" s="122"/>
      <c r="E22" s="123"/>
      <c r="F22" s="117"/>
      <c r="G22" s="117"/>
    </row>
    <row r="23" spans="1:7" ht="12.75">
      <c r="A23" s="120"/>
      <c r="B23" s="93"/>
      <c r="C23" s="121"/>
      <c r="D23" s="122"/>
      <c r="E23" s="123"/>
      <c r="F23" s="117"/>
      <c r="G23" s="117"/>
    </row>
    <row r="24" spans="1:7" ht="12.75">
      <c r="A24" s="120"/>
      <c r="B24" s="124"/>
      <c r="C24" s="121"/>
      <c r="D24" s="122"/>
      <c r="E24" s="123"/>
      <c r="F24" s="117"/>
      <c r="G24" s="117"/>
    </row>
    <row r="25" spans="1:7" ht="12.75">
      <c r="A25" s="120"/>
      <c r="B25" s="125"/>
      <c r="C25" s="122"/>
      <c r="D25" s="122"/>
      <c r="E25" s="123"/>
      <c r="F25" s="117"/>
      <c r="G25" s="117"/>
    </row>
    <row r="26" spans="1:7" ht="12.75">
      <c r="A26" s="117"/>
      <c r="B26" s="117"/>
      <c r="C26" s="117"/>
      <c r="D26" s="117"/>
      <c r="E26" s="117"/>
      <c r="F26" s="117"/>
      <c r="G26" s="117"/>
    </row>
    <row r="27" spans="1:7" ht="12.75">
      <c r="A27" s="117"/>
      <c r="B27" s="117"/>
      <c r="C27" s="117"/>
      <c r="D27" s="117"/>
      <c r="E27" s="117"/>
      <c r="F27" s="117"/>
      <c r="G27" s="117"/>
    </row>
  </sheetData>
  <sheetProtection/>
  <mergeCells count="1">
    <mergeCell ref="A20:E2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2009-12-21T21:46:10Z</cp:lastPrinted>
  <dcterms:created xsi:type="dcterms:W3CDTF">2006-08-24T17:49:09Z</dcterms:created>
  <dcterms:modified xsi:type="dcterms:W3CDTF">2013-11-04T15:31:59Z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